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S:\PLANEJAMENTO E CONTRATOS\CONTROLE - CONTRATOS\CONTRATAÇÕES\2022 - CONTRATAÇÕES\UNIDADES HABITACIONAIS\LICITAÇÃO\"/>
    </mc:Choice>
  </mc:AlternateContent>
  <xr:revisionPtr revIDLastSave="0" documentId="13_ncr:1_{93405363-B585-41A0-AC19-03E4FBEB0233}" xr6:coauthVersionLast="47" xr6:coauthVersionMax="47" xr10:uidLastSave="{00000000-0000-0000-0000-000000000000}"/>
  <bookViews>
    <workbookView xWindow="-120" yWindow="-120" windowWidth="29040" windowHeight="15840" tabRatio="913" firstSheet="3" activeTab="3" xr2:uid="{00000000-000D-0000-FFFF-FFFF00000000}"/>
  </bookViews>
  <sheets>
    <sheet name="Original" sheetId="1" state="hidden" r:id="rId1"/>
    <sheet name="total" sheetId="19" state="hidden" r:id="rId2"/>
    <sheet name="ORÇAMENTO (3)" sheetId="18" state="hidden" r:id="rId3"/>
    <sheet name="Planilha Orçamentária" sheetId="17" r:id="rId4"/>
    <sheet name="ORÇAMENTO" sheetId="10" state="hidden" r:id="rId5"/>
    <sheet name="Cronograma Físico Financeiro" sheetId="25" r:id="rId6"/>
    <sheet name="COMP-01" sheetId="23" r:id="rId7"/>
    <sheet name="COMP-02" sheetId="22" r:id="rId8"/>
    <sheet name="COMP-03" sheetId="26" r:id="rId9"/>
    <sheet name="cronograma (2)" sheetId="16" state="hidden" r:id="rId10"/>
    <sheet name="cronograma" sheetId="15" state="hidden" r:id="rId11"/>
  </sheets>
  <externalReferences>
    <externalReference r:id="rId12"/>
  </externalReferences>
  <definedNames>
    <definedName name="_xlnm._FilterDatabase" localSheetId="10" hidden="1">cronograma!#REF!</definedName>
    <definedName name="_xlnm._FilterDatabase" localSheetId="9" hidden="1">'cronograma (2)'!#REF!</definedName>
    <definedName name="_xlnm._FilterDatabase" localSheetId="4" hidden="1">ORÇAMENTO!$A$10:$H$13</definedName>
    <definedName name="_xlnm._FilterDatabase" localSheetId="2" hidden="1">'ORÇAMENTO (3)'!$A$10:$H$13</definedName>
    <definedName name="_xlnm._FilterDatabase" localSheetId="3" hidden="1">'Planilha Orçamentária'!$A$10:$F$10</definedName>
    <definedName name="_xlnm._FilterDatabase" localSheetId="1" hidden="1">total!$A$10:$H$13</definedName>
    <definedName name="_xlnm.Print_Area" localSheetId="6">'COMP-01'!$A$1:$I$41</definedName>
    <definedName name="_xlnm.Print_Area" localSheetId="7">'COMP-02'!$A$1:$I$41</definedName>
    <definedName name="_xlnm.Print_Area" localSheetId="8">'COMP-03'!$A$1:$I$47</definedName>
    <definedName name="_xlnm.Print_Area" localSheetId="10">cronograma!$A$1:$H$167</definedName>
    <definedName name="_xlnm.Print_Area" localSheetId="9">'cronograma (2)'!$A$1:$H$166</definedName>
    <definedName name="_xlnm.Print_Area" localSheetId="5">'Cronograma Físico Financeiro'!$A$1:$R$97</definedName>
    <definedName name="_xlnm.Print_Area" localSheetId="4">ORÇAMENTO!$A$1:$H$115</definedName>
    <definedName name="_xlnm.Print_Area" localSheetId="2">'ORÇAMENTO (3)'!$A$1:$H$70</definedName>
    <definedName name="_xlnm.Print_Area" localSheetId="0">Original!$A$1:$H$138</definedName>
    <definedName name="_xlnm.Print_Area" localSheetId="3">'Planilha Orçamentária'!$A$1:$I$386</definedName>
    <definedName name="_xlnm.Print_Area" localSheetId="1">total!$A$1:$H$70</definedName>
    <definedName name="_xlnm.Print_Titles" localSheetId="6">'COMP-01'!$5:$10</definedName>
    <definedName name="_xlnm.Print_Titles" localSheetId="7">'COMP-02'!$1:$10</definedName>
    <definedName name="_xlnm.Print_Titles" localSheetId="8">'COMP-03'!$1:$10</definedName>
    <definedName name="_xlnm.Print_Titles" localSheetId="10">cronograma!#REF!</definedName>
    <definedName name="_xlnm.Print_Titles" localSheetId="9">'cronograma (2)'!#REF!</definedName>
    <definedName name="_xlnm.Print_Titles" localSheetId="5">'Cronograma Físico Financeiro'!$1:$7</definedName>
    <definedName name="_xlnm.Print_Titles" localSheetId="4">ORÇAMENTO!$1:$10</definedName>
    <definedName name="_xlnm.Print_Titles" localSheetId="2">'ORÇAMENTO (3)'!$1:$10</definedName>
    <definedName name="_xlnm.Print_Titles" localSheetId="0">Original!$1:$7</definedName>
    <definedName name="_xlnm.Print_Titles" localSheetId="3">'Planilha Orçamentária'!$1:$7</definedName>
    <definedName name="_xlnm.Print_Titles" localSheetId="1">total!$1:$10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22" l="1"/>
  <c r="H13" i="26"/>
  <c r="H12" i="26"/>
  <c r="H373" i="17"/>
  <c r="I373" i="17" s="1"/>
  <c r="B91" i="25"/>
  <c r="I370" i="17"/>
  <c r="H370" i="17"/>
  <c r="H372" i="17"/>
  <c r="I372" i="17" s="1"/>
  <c r="H14" i="26" l="1"/>
  <c r="I35" i="26" l="1"/>
  <c r="I36" i="26" s="1"/>
  <c r="H17" i="26"/>
  <c r="H18" i="26"/>
  <c r="H371" i="17"/>
  <c r="H369" i="17"/>
  <c r="H368" i="17"/>
  <c r="I368" i="17" s="1"/>
  <c r="H12" i="17"/>
  <c r="H13" i="17"/>
  <c r="H14" i="17"/>
  <c r="H15" i="17"/>
  <c r="H16" i="17"/>
  <c r="H17" i="17"/>
  <c r="H11" i="17"/>
  <c r="S90" i="25"/>
  <c r="B89" i="25"/>
  <c r="S88" i="25"/>
  <c r="B87" i="25"/>
  <c r="S86" i="25"/>
  <c r="B85" i="25"/>
  <c r="S84" i="25"/>
  <c r="B83" i="25"/>
  <c r="S82" i="25"/>
  <c r="B81" i="25"/>
  <c r="S80" i="25"/>
  <c r="B79" i="25"/>
  <c r="S78" i="25"/>
  <c r="B77" i="25"/>
  <c r="S76" i="25"/>
  <c r="B75" i="25"/>
  <c r="S74" i="25"/>
  <c r="B73" i="25"/>
  <c r="S72" i="25"/>
  <c r="B71" i="25"/>
  <c r="S70" i="25"/>
  <c r="B69" i="25"/>
  <c r="S68" i="25"/>
  <c r="B67" i="25"/>
  <c r="S66" i="25"/>
  <c r="B65" i="25"/>
  <c r="S64" i="25"/>
  <c r="B63" i="25"/>
  <c r="S62" i="25"/>
  <c r="B61" i="25"/>
  <c r="S60" i="25"/>
  <c r="B59" i="25"/>
  <c r="S58" i="25"/>
  <c r="B57" i="25"/>
  <c r="S56" i="25"/>
  <c r="B55" i="25"/>
  <c r="S51" i="25"/>
  <c r="B50" i="25"/>
  <c r="S49" i="25"/>
  <c r="B48" i="25"/>
  <c r="S47" i="25"/>
  <c r="B46" i="25"/>
  <c r="S45" i="25"/>
  <c r="B44" i="25"/>
  <c r="S43" i="25"/>
  <c r="B42" i="25"/>
  <c r="S41" i="25"/>
  <c r="B40" i="25"/>
  <c r="S39" i="25"/>
  <c r="B38" i="25"/>
  <c r="S37" i="25"/>
  <c r="B36" i="25"/>
  <c r="S35" i="25"/>
  <c r="B34" i="25"/>
  <c r="S33" i="25"/>
  <c r="B32" i="25"/>
  <c r="S31" i="25"/>
  <c r="B30" i="25"/>
  <c r="S29" i="25"/>
  <c r="B28" i="25"/>
  <c r="S27" i="25"/>
  <c r="B26" i="25"/>
  <c r="S25" i="25"/>
  <c r="B24" i="25"/>
  <c r="S23" i="25"/>
  <c r="B22" i="25"/>
  <c r="S21" i="25"/>
  <c r="B20" i="25"/>
  <c r="S19" i="25"/>
  <c r="B18" i="25"/>
  <c r="S17" i="25"/>
  <c r="B16" i="25"/>
  <c r="S12" i="25"/>
  <c r="B11" i="25"/>
  <c r="A9" i="25"/>
  <c r="I371" i="17" l="1"/>
  <c r="I369" i="17"/>
  <c r="H19" i="26"/>
  <c r="H24" i="26" l="1"/>
  <c r="H26" i="26" s="1"/>
  <c r="C40" i="26" s="1"/>
  <c r="C41" i="26" l="1"/>
  <c r="C42" i="26" s="1"/>
  <c r="H367" i="17" s="1"/>
  <c r="I367" i="17" s="1"/>
  <c r="H15" i="22"/>
  <c r="H14" i="22"/>
  <c r="H15" i="23"/>
  <c r="H14" i="23"/>
  <c r="H361" i="17"/>
  <c r="H352" i="17"/>
  <c r="H353" i="17"/>
  <c r="H354" i="17"/>
  <c r="H355" i="17"/>
  <c r="H356" i="17"/>
  <c r="H357" i="17"/>
  <c r="H351" i="17"/>
  <c r="H347" i="17"/>
  <c r="H345" i="17"/>
  <c r="H344" i="17"/>
  <c r="H343" i="17"/>
  <c r="H342" i="17"/>
  <c r="H331" i="17"/>
  <c r="I331" i="17" s="1"/>
  <c r="H332" i="17"/>
  <c r="H333" i="17"/>
  <c r="I333" i="17" s="1"/>
  <c r="H334" i="17"/>
  <c r="H335" i="17"/>
  <c r="I335" i="17" s="1"/>
  <c r="H336" i="17"/>
  <c r="I336" i="17" s="1"/>
  <c r="H337" i="17"/>
  <c r="I337" i="17" s="1"/>
  <c r="H330" i="17"/>
  <c r="I330" i="17" s="1"/>
  <c r="H326" i="17"/>
  <c r="I326" i="17" s="1"/>
  <c r="H325" i="17"/>
  <c r="I325" i="17" s="1"/>
  <c r="H324" i="17"/>
  <c r="I324" i="17" s="1"/>
  <c r="H323" i="17"/>
  <c r="I323" i="17" s="1"/>
  <c r="H322" i="17"/>
  <c r="I322" i="17" s="1"/>
  <c r="H321" i="17"/>
  <c r="I321" i="17" s="1"/>
  <c r="H320" i="17"/>
  <c r="H319" i="17"/>
  <c r="I319" i="17" s="1"/>
  <c r="H318" i="17"/>
  <c r="I318" i="17" s="1"/>
  <c r="H317" i="17"/>
  <c r="H313" i="17"/>
  <c r="I313" i="17" s="1"/>
  <c r="H312" i="17"/>
  <c r="I312" i="17" s="1"/>
  <c r="H311" i="17"/>
  <c r="I311" i="17" s="1"/>
  <c r="H310" i="17"/>
  <c r="I310" i="17" s="1"/>
  <c r="H309" i="17"/>
  <c r="I309" i="17" s="1"/>
  <c r="H308" i="17"/>
  <c r="I308" i="17" s="1"/>
  <c r="H307" i="17"/>
  <c r="I307" i="17" s="1"/>
  <c r="H306" i="17"/>
  <c r="H305" i="17"/>
  <c r="I305" i="17" s="1"/>
  <c r="H285" i="17"/>
  <c r="I285" i="17" s="1"/>
  <c r="H286" i="17"/>
  <c r="I286" i="17" s="1"/>
  <c r="H287" i="17"/>
  <c r="I287" i="17" s="1"/>
  <c r="H288" i="17"/>
  <c r="I288" i="17" s="1"/>
  <c r="H289" i="17"/>
  <c r="I289" i="17" s="1"/>
  <c r="H290" i="17"/>
  <c r="I290" i="17" s="1"/>
  <c r="H291" i="17"/>
  <c r="I291" i="17" s="1"/>
  <c r="H292" i="17"/>
  <c r="I292" i="17" s="1"/>
  <c r="H293" i="17"/>
  <c r="I293" i="17" s="1"/>
  <c r="H294" i="17"/>
  <c r="I294" i="17" s="1"/>
  <c r="H295" i="17"/>
  <c r="I295" i="17" s="1"/>
  <c r="H296" i="17"/>
  <c r="I296" i="17" s="1"/>
  <c r="H297" i="17"/>
  <c r="I297" i="17" s="1"/>
  <c r="H298" i="17"/>
  <c r="I298" i="17" s="1"/>
  <c r="H299" i="17"/>
  <c r="I299" i="17" s="1"/>
  <c r="H300" i="17"/>
  <c r="I300" i="17" s="1"/>
  <c r="H301" i="17"/>
  <c r="I301" i="17" s="1"/>
  <c r="H284" i="17"/>
  <c r="I284" i="17" s="1"/>
  <c r="H275" i="17"/>
  <c r="H276" i="17"/>
  <c r="H277" i="17"/>
  <c r="H278" i="17"/>
  <c r="H279" i="17"/>
  <c r="H280" i="17"/>
  <c r="I280" i="17" s="1"/>
  <c r="H274" i="17"/>
  <c r="H269" i="17"/>
  <c r="H270" i="17"/>
  <c r="H267" i="17"/>
  <c r="H262" i="17"/>
  <c r="I262" i="17" s="1"/>
  <c r="I263" i="17" s="1"/>
  <c r="C71" i="25" s="1"/>
  <c r="H257" i="17"/>
  <c r="I257" i="17" s="1"/>
  <c r="H256" i="17"/>
  <c r="I256" i="17" s="1"/>
  <c r="H255" i="17"/>
  <c r="I255" i="17" s="1"/>
  <c r="H250" i="17"/>
  <c r="I250" i="17" s="1"/>
  <c r="H249" i="17"/>
  <c r="I249" i="17" s="1"/>
  <c r="H248" i="17"/>
  <c r="I248" i="17" s="1"/>
  <c r="H241" i="17"/>
  <c r="H243" i="17"/>
  <c r="I243" i="17" s="1"/>
  <c r="H244" i="17"/>
  <c r="I244" i="17" s="1"/>
  <c r="H245" i="17"/>
  <c r="I245" i="17" s="1"/>
  <c r="H246" i="17"/>
  <c r="H240" i="17"/>
  <c r="H227" i="17"/>
  <c r="H226" i="17"/>
  <c r="H231" i="17"/>
  <c r="H232" i="17"/>
  <c r="H233" i="17"/>
  <c r="H234" i="17"/>
  <c r="H235" i="17"/>
  <c r="H222" i="17"/>
  <c r="I222" i="17" s="1"/>
  <c r="I223" i="17" s="1"/>
  <c r="C61" i="25" s="1"/>
  <c r="H217" i="17"/>
  <c r="H202" i="17"/>
  <c r="H200" i="17"/>
  <c r="H208" i="17"/>
  <c r="H209" i="17"/>
  <c r="H210" i="17"/>
  <c r="H211" i="17"/>
  <c r="I211" i="17" s="1"/>
  <c r="H212" i="17"/>
  <c r="I212" i="17" s="1"/>
  <c r="H213" i="17"/>
  <c r="H199" i="17"/>
  <c r="H194" i="17"/>
  <c r="I208" i="17" l="1"/>
  <c r="C91" i="25"/>
  <c r="I374" i="17"/>
  <c r="H381" i="17" s="1"/>
  <c r="I334" i="17"/>
  <c r="I361" i="17"/>
  <c r="I362" i="17" s="1"/>
  <c r="I317" i="17"/>
  <c r="I240" i="17"/>
  <c r="I347" i="17"/>
  <c r="I344" i="17"/>
  <c r="I233" i="17"/>
  <c r="I332" i="17"/>
  <c r="I209" i="17"/>
  <c r="I217" i="17"/>
  <c r="I213" i="17"/>
  <c r="I267" i="17"/>
  <c r="I355" i="17"/>
  <c r="I227" i="17"/>
  <c r="I202" i="17"/>
  <c r="I279" i="17"/>
  <c r="I306" i="17"/>
  <c r="I314" i="17" s="1"/>
  <c r="C79" i="25" s="1"/>
  <c r="I241" i="17"/>
  <c r="I353" i="17"/>
  <c r="I352" i="17"/>
  <c r="I199" i="17"/>
  <c r="I210" i="17"/>
  <c r="I234" i="17"/>
  <c r="I226" i="17"/>
  <c r="I270" i="17"/>
  <c r="I194" i="17"/>
  <c r="I195" i="17" s="1"/>
  <c r="C55" i="25" s="1"/>
  <c r="I55" i="25" s="1"/>
  <c r="I200" i="17"/>
  <c r="I246" i="17"/>
  <c r="I276" i="17"/>
  <c r="I320" i="17"/>
  <c r="I275" i="17"/>
  <c r="I343" i="17"/>
  <c r="I342" i="17"/>
  <c r="I235" i="17"/>
  <c r="I351" i="17"/>
  <c r="I356" i="17"/>
  <c r="I354" i="17"/>
  <c r="I357" i="17"/>
  <c r="L61" i="25"/>
  <c r="M61" i="25"/>
  <c r="K61" i="25"/>
  <c r="J61" i="25"/>
  <c r="I61" i="25"/>
  <c r="O71" i="25"/>
  <c r="M71" i="25"/>
  <c r="N71" i="25"/>
  <c r="I302" i="17"/>
  <c r="C77" i="25" s="1"/>
  <c r="I274" i="17"/>
  <c r="I269" i="17"/>
  <c r="I258" i="17"/>
  <c r="C69" i="25" s="1"/>
  <c r="F91" i="25" l="1"/>
  <c r="F94" i="25" s="1"/>
  <c r="E91" i="25"/>
  <c r="E94" i="25" s="1"/>
  <c r="E96" i="25" s="1"/>
  <c r="F96" i="25" s="1"/>
  <c r="I338" i="17"/>
  <c r="C83" i="25" s="1"/>
  <c r="N83" i="25" s="1"/>
  <c r="I327" i="17"/>
  <c r="C81" i="25" s="1"/>
  <c r="P81" i="25" s="1"/>
  <c r="S81" i="25" s="1"/>
  <c r="C89" i="25"/>
  <c r="R89" i="25" s="1"/>
  <c r="S89" i="25" s="1"/>
  <c r="I232" i="17"/>
  <c r="I231" i="17"/>
  <c r="I345" i="17"/>
  <c r="I348" i="17" s="1"/>
  <c r="C85" i="25" s="1"/>
  <c r="O85" i="25" s="1"/>
  <c r="I228" i="17"/>
  <c r="C63" i="25" s="1"/>
  <c r="L63" i="25" s="1"/>
  <c r="I251" i="17"/>
  <c r="C67" i="25" s="1"/>
  <c r="O67" i="25" s="1"/>
  <c r="G55" i="25"/>
  <c r="H55" i="25"/>
  <c r="I203" i="17"/>
  <c r="C57" i="25" s="1"/>
  <c r="G57" i="25" s="1"/>
  <c r="I271" i="17"/>
  <c r="C73" i="25" s="1"/>
  <c r="J73" i="25" s="1"/>
  <c r="I358" i="17"/>
  <c r="C87" i="25" s="1"/>
  <c r="Q87" i="25" s="1"/>
  <c r="I278" i="17"/>
  <c r="I277" i="17"/>
  <c r="P79" i="25"/>
  <c r="O79" i="25"/>
  <c r="L77" i="25"/>
  <c r="K77" i="25"/>
  <c r="M77" i="25"/>
  <c r="N77" i="25"/>
  <c r="J77" i="25"/>
  <c r="I77" i="25"/>
  <c r="O77" i="25"/>
  <c r="S71" i="25"/>
  <c r="S61" i="25"/>
  <c r="O69" i="25"/>
  <c r="M69" i="25"/>
  <c r="N69" i="25"/>
  <c r="H187" i="17"/>
  <c r="I187" i="17" s="1"/>
  <c r="I188" i="17" s="1"/>
  <c r="C50" i="25" s="1"/>
  <c r="R50" i="25" s="1"/>
  <c r="S50" i="25" s="1"/>
  <c r="H178" i="17"/>
  <c r="I178" i="17" s="1"/>
  <c r="H179" i="17"/>
  <c r="I179" i="17" s="1"/>
  <c r="H180" i="17"/>
  <c r="I180" i="17" s="1"/>
  <c r="H181" i="17"/>
  <c r="I181" i="17" s="1"/>
  <c r="H182" i="17"/>
  <c r="I182" i="17" s="1"/>
  <c r="H183" i="17"/>
  <c r="I183" i="17" s="1"/>
  <c r="H177" i="17"/>
  <c r="I177" i="17" s="1"/>
  <c r="H169" i="17"/>
  <c r="H170" i="17"/>
  <c r="I170" i="17" s="1"/>
  <c r="H171" i="17"/>
  <c r="H173" i="17"/>
  <c r="I173" i="17" s="1"/>
  <c r="H168" i="17"/>
  <c r="H157" i="17"/>
  <c r="I157" i="17" s="1"/>
  <c r="H158" i="17"/>
  <c r="I158" i="17" s="1"/>
  <c r="H159" i="17"/>
  <c r="I159" i="17" s="1"/>
  <c r="H160" i="17"/>
  <c r="I160" i="17" s="1"/>
  <c r="H161" i="17"/>
  <c r="I161" i="17" s="1"/>
  <c r="H162" i="17"/>
  <c r="I162" i="17" s="1"/>
  <c r="H163" i="17"/>
  <c r="I163" i="17" s="1"/>
  <c r="H156" i="17"/>
  <c r="I156" i="17" s="1"/>
  <c r="H144" i="17"/>
  <c r="I144" i="17" s="1"/>
  <c r="H145" i="17"/>
  <c r="I145" i="17" s="1"/>
  <c r="H146" i="17"/>
  <c r="I146" i="17" s="1"/>
  <c r="H147" i="17"/>
  <c r="I147" i="17" s="1"/>
  <c r="H148" i="17"/>
  <c r="I148" i="17" s="1"/>
  <c r="H149" i="17"/>
  <c r="I149" i="17" s="1"/>
  <c r="H150" i="17"/>
  <c r="I150" i="17" s="1"/>
  <c r="H151" i="17"/>
  <c r="I151" i="17" s="1"/>
  <c r="H152" i="17"/>
  <c r="I152" i="17" s="1"/>
  <c r="H143" i="17"/>
  <c r="I143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12" i="17"/>
  <c r="I112" i="17" s="1"/>
  <c r="H113" i="17"/>
  <c r="I113" i="17" s="1"/>
  <c r="H114" i="17"/>
  <c r="I114" i="17" s="1"/>
  <c r="H115" i="17"/>
  <c r="I115" i="17" s="1"/>
  <c r="H116" i="17"/>
  <c r="I116" i="17" s="1"/>
  <c r="H117" i="17"/>
  <c r="I117" i="17" s="1"/>
  <c r="H118" i="17"/>
  <c r="I118" i="17" s="1"/>
  <c r="H119" i="17"/>
  <c r="I119" i="17" s="1"/>
  <c r="H120" i="17"/>
  <c r="I120" i="17" s="1"/>
  <c r="H121" i="17"/>
  <c r="I121" i="17" s="1"/>
  <c r="H122" i="17"/>
  <c r="I122" i="17" s="1"/>
  <c r="H123" i="17"/>
  <c r="I123" i="17" s="1"/>
  <c r="H124" i="17"/>
  <c r="I124" i="17" s="1"/>
  <c r="H125" i="17"/>
  <c r="I125" i="17" s="1"/>
  <c r="H126" i="17"/>
  <c r="I126" i="17" s="1"/>
  <c r="H127" i="17"/>
  <c r="I127" i="17" s="1"/>
  <c r="H128" i="17"/>
  <c r="I128" i="17" s="1"/>
  <c r="H111" i="17"/>
  <c r="I111" i="17" s="1"/>
  <c r="H102" i="17"/>
  <c r="I102" i="17" s="1"/>
  <c r="H103" i="17"/>
  <c r="I103" i="17" s="1"/>
  <c r="H104" i="17"/>
  <c r="I104" i="17" s="1"/>
  <c r="H105" i="17"/>
  <c r="I105" i="17" s="1"/>
  <c r="H106" i="17"/>
  <c r="I106" i="17" s="1"/>
  <c r="H107" i="17"/>
  <c r="I107" i="17" s="1"/>
  <c r="H101" i="17"/>
  <c r="I101" i="17" s="1"/>
  <c r="H94" i="17"/>
  <c r="H96" i="17"/>
  <c r="H97" i="17"/>
  <c r="H89" i="17"/>
  <c r="H84" i="17"/>
  <c r="I84" i="17" s="1"/>
  <c r="H83" i="17"/>
  <c r="I83" i="17" s="1"/>
  <c r="H82" i="17"/>
  <c r="I82" i="17" s="1"/>
  <c r="H77" i="17"/>
  <c r="I77" i="17" s="1"/>
  <c r="H76" i="17"/>
  <c r="I76" i="17" s="1"/>
  <c r="H75" i="17"/>
  <c r="I75" i="17" s="1"/>
  <c r="H71" i="17"/>
  <c r="I71" i="17" s="1"/>
  <c r="H72" i="17"/>
  <c r="I72" i="17" s="1"/>
  <c r="H73" i="17"/>
  <c r="I73" i="17" s="1"/>
  <c r="H69" i="17"/>
  <c r="H68" i="17"/>
  <c r="Q83" i="25" l="1"/>
  <c r="O83" i="25"/>
  <c r="P83" i="25"/>
  <c r="I236" i="17"/>
  <c r="C65" i="25" s="1"/>
  <c r="L65" i="25" s="1"/>
  <c r="I171" i="17"/>
  <c r="M63" i="25"/>
  <c r="N63" i="25"/>
  <c r="S55" i="25"/>
  <c r="N67" i="25"/>
  <c r="M67" i="25"/>
  <c r="M73" i="25"/>
  <c r="I57" i="25"/>
  <c r="H57" i="25"/>
  <c r="K73" i="25"/>
  <c r="P85" i="25"/>
  <c r="J57" i="25"/>
  <c r="Q85" i="25"/>
  <c r="N85" i="25"/>
  <c r="L73" i="25"/>
  <c r="I73" i="25"/>
  <c r="I168" i="17"/>
  <c r="I169" i="17"/>
  <c r="R87" i="25"/>
  <c r="S87" i="25" s="1"/>
  <c r="I281" i="17"/>
  <c r="C75" i="25" s="1"/>
  <c r="P75" i="25" s="1"/>
  <c r="S77" i="25"/>
  <c r="S79" i="25"/>
  <c r="S69" i="25"/>
  <c r="I140" i="17"/>
  <c r="C40" i="25" s="1"/>
  <c r="I153" i="17"/>
  <c r="C42" i="25" s="1"/>
  <c r="I184" i="17"/>
  <c r="C48" i="25" s="1"/>
  <c r="I164" i="17"/>
  <c r="C44" i="25" s="1"/>
  <c r="I129" i="17"/>
  <c r="C38" i="25" s="1"/>
  <c r="I85" i="17"/>
  <c r="C30" i="25" s="1"/>
  <c r="I108" i="17"/>
  <c r="C36" i="25" s="1"/>
  <c r="I69" i="17"/>
  <c r="I68" i="17"/>
  <c r="S83" i="25" l="1"/>
  <c r="M65" i="25"/>
  <c r="N65" i="25"/>
  <c r="S63" i="25"/>
  <c r="S67" i="25"/>
  <c r="S57" i="25"/>
  <c r="O75" i="25"/>
  <c r="I174" i="17"/>
  <c r="C46" i="25" s="1"/>
  <c r="Q46" i="25" s="1"/>
  <c r="S73" i="25"/>
  <c r="S85" i="25"/>
  <c r="Q75" i="25"/>
  <c r="R75" i="25"/>
  <c r="Q44" i="25"/>
  <c r="N44" i="25"/>
  <c r="O44" i="25"/>
  <c r="P44" i="25"/>
  <c r="I38" i="25"/>
  <c r="N38" i="25"/>
  <c r="M38" i="25"/>
  <c r="L38" i="25"/>
  <c r="K38" i="25"/>
  <c r="O38" i="25"/>
  <c r="J38" i="25"/>
  <c r="O40" i="25"/>
  <c r="P40" i="25"/>
  <c r="P42" i="25"/>
  <c r="O42" i="25"/>
  <c r="Q36" i="25"/>
  <c r="P36" i="25"/>
  <c r="R36" i="25"/>
  <c r="O36" i="25"/>
  <c r="Q48" i="25"/>
  <c r="R48" i="25"/>
  <c r="O30" i="25"/>
  <c r="N30" i="25"/>
  <c r="M30" i="25"/>
  <c r="I78" i="17"/>
  <c r="C28" i="25" s="1"/>
  <c r="S65" i="25" l="1"/>
  <c r="N46" i="25"/>
  <c r="O46" i="25"/>
  <c r="P46" i="25"/>
  <c r="P94" i="25" s="1"/>
  <c r="S75" i="25"/>
  <c r="S48" i="25"/>
  <c r="Q94" i="25"/>
  <c r="S38" i="25"/>
  <c r="S44" i="25"/>
  <c r="O28" i="25"/>
  <c r="L28" i="25"/>
  <c r="N28" i="25"/>
  <c r="M28" i="25"/>
  <c r="R94" i="25"/>
  <c r="S36" i="25"/>
  <c r="S42" i="25"/>
  <c r="S40" i="25"/>
  <c r="S30" i="25"/>
  <c r="H60" i="17"/>
  <c r="H61" i="17"/>
  <c r="H62" i="17"/>
  <c r="H63" i="17"/>
  <c r="H59" i="17"/>
  <c r="H55" i="17"/>
  <c r="H54" i="17"/>
  <c r="H50" i="17"/>
  <c r="H45" i="17"/>
  <c r="S46" i="25" l="1"/>
  <c r="S28" i="25"/>
  <c r="I55" i="17"/>
  <c r="H28" i="17" l="1"/>
  <c r="H30" i="17"/>
  <c r="H36" i="17"/>
  <c r="H37" i="17"/>
  <c r="H38" i="17"/>
  <c r="H39" i="17"/>
  <c r="H40" i="17"/>
  <c r="H41" i="17"/>
  <c r="H27" i="17"/>
  <c r="H22" i="17"/>
  <c r="H23" i="22" l="1"/>
  <c r="H22" i="22"/>
  <c r="H21" i="22"/>
  <c r="H22" i="23"/>
  <c r="H23" i="23"/>
  <c r="H24" i="23"/>
  <c r="H21" i="23"/>
  <c r="H18" i="23"/>
  <c r="I13" i="17" l="1"/>
  <c r="I14" i="17"/>
  <c r="I15" i="17"/>
  <c r="I60" i="17" l="1"/>
  <c r="I61" i="17"/>
  <c r="I22" i="22"/>
  <c r="I16" i="17" l="1"/>
  <c r="I17" i="17" l="1"/>
  <c r="I97" i="17" l="1"/>
  <c r="I22" i="17" l="1"/>
  <c r="I23" i="17" l="1"/>
  <c r="I40" i="17"/>
  <c r="I37" i="17"/>
  <c r="I39" i="17"/>
  <c r="I38" i="17"/>
  <c r="C16" i="25" l="1"/>
  <c r="U16" i="25"/>
  <c r="D24" i="23"/>
  <c r="G16" i="25" l="1"/>
  <c r="H16" i="25"/>
  <c r="I16" i="25"/>
  <c r="I18" i="23"/>
  <c r="I19" i="23" s="1"/>
  <c r="C30" i="23" s="1"/>
  <c r="J18" i="23"/>
  <c r="I21" i="23"/>
  <c r="D23" i="23"/>
  <c r="L24" i="23"/>
  <c r="K24" i="23"/>
  <c r="I24" i="23"/>
  <c r="I15" i="23"/>
  <c r="I14" i="23"/>
  <c r="I41" i="17"/>
  <c r="L23" i="22"/>
  <c r="K23" i="22"/>
  <c r="I23" i="22"/>
  <c r="I21" i="22"/>
  <c r="S16" i="25" l="1"/>
  <c r="M24" i="23"/>
  <c r="I23" i="23"/>
  <c r="I16" i="23"/>
  <c r="C29" i="23" s="1"/>
  <c r="C35" i="23" s="1"/>
  <c r="I24" i="22"/>
  <c r="C32" i="22" s="1"/>
  <c r="M23" i="22"/>
  <c r="C34" i="23" l="1"/>
  <c r="I18" i="22"/>
  <c r="I15" i="22"/>
  <c r="I14" i="22"/>
  <c r="I16" i="22" l="1"/>
  <c r="C28" i="22" s="1"/>
  <c r="I19" i="22"/>
  <c r="C29" i="22" s="1"/>
  <c r="C34" i="22" l="1"/>
  <c r="C35" i="22" s="1"/>
  <c r="C33" i="22"/>
  <c r="C36" i="22" l="1"/>
  <c r="I28" i="17"/>
  <c r="H215" i="17" l="1"/>
  <c r="I215" i="17" s="1"/>
  <c r="H43" i="17"/>
  <c r="I43" i="17" s="1"/>
  <c r="I63" i="17"/>
  <c r="I62" i="17"/>
  <c r="I54" i="17"/>
  <c r="I56" i="17" s="1"/>
  <c r="C24" i="25" s="1"/>
  <c r="I50" i="17"/>
  <c r="I51" i="17" s="1"/>
  <c r="C22" i="25" s="1"/>
  <c r="I12" i="17"/>
  <c r="I11" i="17"/>
  <c r="L24" i="25" l="1"/>
  <c r="M24" i="25"/>
  <c r="N24" i="25"/>
  <c r="K22" i="25"/>
  <c r="L22" i="25"/>
  <c r="I22" i="25"/>
  <c r="M22" i="25"/>
  <c r="J22" i="25"/>
  <c r="I18" i="17"/>
  <c r="S24" i="25" l="1"/>
  <c r="H376" i="17"/>
  <c r="C11" i="25"/>
  <c r="S22" i="25"/>
  <c r="I59" i="17"/>
  <c r="I64" i="17" s="1"/>
  <c r="C26" i="25" s="1"/>
  <c r="C16" i="16"/>
  <c r="G15" i="16" s="1"/>
  <c r="I45" i="17"/>
  <c r="I30" i="17"/>
  <c r="I36" i="17"/>
  <c r="I27" i="17"/>
  <c r="I94" i="17"/>
  <c r="G58" i="10"/>
  <c r="F58" i="10"/>
  <c r="F57" i="10"/>
  <c r="F55" i="10"/>
  <c r="H55" i="10" s="1"/>
  <c r="F18" i="10"/>
  <c r="F56" i="10"/>
  <c r="H56" i="10" s="1"/>
  <c r="F54" i="10"/>
  <c r="H54" i="10" s="1"/>
  <c r="F16" i="18"/>
  <c r="F17" i="18"/>
  <c r="F19" i="18"/>
  <c r="F20" i="18"/>
  <c r="F21" i="18"/>
  <c r="F22" i="18"/>
  <c r="F23" i="18"/>
  <c r="F24" i="18"/>
  <c r="N67" i="19"/>
  <c r="O67" i="19" s="1"/>
  <c r="P67" i="19" s="1"/>
  <c r="G67" i="19" s="1"/>
  <c r="H67" i="19" s="1"/>
  <c r="I67" i="19" s="1"/>
  <c r="N64" i="19"/>
  <c r="O64" i="19" s="1"/>
  <c r="P64" i="19" s="1"/>
  <c r="G64" i="19" s="1"/>
  <c r="H64" i="19" s="1"/>
  <c r="I64" i="19" s="1"/>
  <c r="F64" i="19"/>
  <c r="O63" i="19"/>
  <c r="P63" i="19" s="1"/>
  <c r="G63" i="19" s="1"/>
  <c r="N63" i="19"/>
  <c r="N61" i="19"/>
  <c r="O61" i="19" s="1"/>
  <c r="P61" i="19" s="1"/>
  <c r="G61" i="19" s="1"/>
  <c r="H61" i="19" s="1"/>
  <c r="I61" i="19" s="1"/>
  <c r="O60" i="19"/>
  <c r="P60" i="19" s="1"/>
  <c r="G60" i="19" s="1"/>
  <c r="H60" i="19" s="1"/>
  <c r="I60" i="19" s="1"/>
  <c r="N60" i="19"/>
  <c r="N59" i="19"/>
  <c r="O59" i="19" s="1"/>
  <c r="P59" i="19" s="1"/>
  <c r="G59" i="19" s="1"/>
  <c r="F59" i="19"/>
  <c r="N58" i="19"/>
  <c r="O58" i="19" s="1"/>
  <c r="P58" i="19" s="1"/>
  <c r="G58" i="19" s="1"/>
  <c r="H58" i="19" s="1"/>
  <c r="I58" i="19" s="1"/>
  <c r="N56" i="19"/>
  <c r="O56" i="19" s="1"/>
  <c r="P56" i="19" s="1"/>
  <c r="G56" i="19" s="1"/>
  <c r="H56" i="19" s="1"/>
  <c r="I56" i="19" s="1"/>
  <c r="G55" i="19"/>
  <c r="H55" i="19" s="1"/>
  <c r="I55" i="19" s="1"/>
  <c r="G54" i="19"/>
  <c r="H54" i="19" s="1"/>
  <c r="I54" i="19" s="1"/>
  <c r="G53" i="19"/>
  <c r="H53" i="19" s="1"/>
  <c r="G52" i="19"/>
  <c r="H52" i="19" s="1"/>
  <c r="G51" i="19"/>
  <c r="H51" i="19" s="1"/>
  <c r="I51" i="19" s="1"/>
  <c r="G50" i="19"/>
  <c r="H50" i="19" s="1"/>
  <c r="I50" i="19" s="1"/>
  <c r="G48" i="19"/>
  <c r="F48" i="19"/>
  <c r="H48" i="19" s="1"/>
  <c r="E48" i="19"/>
  <c r="N47" i="19"/>
  <c r="O47" i="19" s="1"/>
  <c r="P47" i="19" s="1"/>
  <c r="G47" i="19" s="1"/>
  <c r="N46" i="19"/>
  <c r="O46" i="19" s="1"/>
  <c r="P46" i="19" s="1"/>
  <c r="G46" i="19" s="1"/>
  <c r="F46" i="19"/>
  <c r="N45" i="19"/>
  <c r="O45" i="19" s="1"/>
  <c r="P45" i="19" s="1"/>
  <c r="B45" i="19"/>
  <c r="G43" i="19"/>
  <c r="G42" i="19"/>
  <c r="H42" i="19" s="1"/>
  <c r="F42" i="19"/>
  <c r="F43" i="19" s="1"/>
  <c r="N40" i="19"/>
  <c r="O40" i="19" s="1"/>
  <c r="P40" i="19" s="1"/>
  <c r="G40" i="19" s="1"/>
  <c r="H40" i="19" s="1"/>
  <c r="I40" i="19" s="1"/>
  <c r="N37" i="19"/>
  <c r="O37" i="19" s="1"/>
  <c r="P37" i="19" s="1"/>
  <c r="G37" i="19" s="1"/>
  <c r="N35" i="19"/>
  <c r="O35" i="19" s="1"/>
  <c r="P35" i="19" s="1"/>
  <c r="H35" i="19"/>
  <c r="I35" i="19" s="1"/>
  <c r="N34" i="19"/>
  <c r="O34" i="19" s="1"/>
  <c r="P34" i="19" s="1"/>
  <c r="G34" i="19" s="1"/>
  <c r="F34" i="19"/>
  <c r="O33" i="19"/>
  <c r="P33" i="19" s="1"/>
  <c r="G33" i="19" s="1"/>
  <c r="N33" i="19"/>
  <c r="F33" i="19"/>
  <c r="F37" i="19" s="1"/>
  <c r="N30" i="19"/>
  <c r="O30" i="19" s="1"/>
  <c r="P30" i="19" s="1"/>
  <c r="G30" i="19"/>
  <c r="F30" i="19"/>
  <c r="G29" i="19"/>
  <c r="F29" i="19"/>
  <c r="F28" i="19" s="1"/>
  <c r="H28" i="19" s="1"/>
  <c r="O28" i="19"/>
  <c r="P28" i="19" s="1"/>
  <c r="G28" i="19" s="1"/>
  <c r="N28" i="19"/>
  <c r="N27" i="19"/>
  <c r="O27" i="19" s="1"/>
  <c r="P27" i="19" s="1"/>
  <c r="G27" i="19" s="1"/>
  <c r="F27" i="19"/>
  <c r="N26" i="19"/>
  <c r="O26" i="19" s="1"/>
  <c r="P26" i="19" s="1"/>
  <c r="G26" i="19" s="1"/>
  <c r="F26" i="19"/>
  <c r="H26" i="19" s="1"/>
  <c r="I26" i="19" s="1"/>
  <c r="N24" i="19"/>
  <c r="O24" i="19" s="1"/>
  <c r="P24" i="19" s="1"/>
  <c r="G24" i="19" s="1"/>
  <c r="F24" i="19"/>
  <c r="N23" i="19"/>
  <c r="O23" i="19" s="1"/>
  <c r="P23" i="19" s="1"/>
  <c r="G23" i="19" s="1"/>
  <c r="F23" i="19"/>
  <c r="N22" i="19"/>
  <c r="O22" i="19" s="1"/>
  <c r="P22" i="19" s="1"/>
  <c r="G22" i="19" s="1"/>
  <c r="F22" i="19"/>
  <c r="N21" i="19"/>
  <c r="O21" i="19" s="1"/>
  <c r="P21" i="19" s="1"/>
  <c r="G21" i="19" s="1"/>
  <c r="F21" i="19"/>
  <c r="N20" i="19"/>
  <c r="O20" i="19" s="1"/>
  <c r="P20" i="19" s="1"/>
  <c r="G20" i="19" s="1"/>
  <c r="H20" i="19" s="1"/>
  <c r="I20" i="19" s="1"/>
  <c r="F20" i="19"/>
  <c r="N19" i="19"/>
  <c r="O19" i="19" s="1"/>
  <c r="P19" i="19" s="1"/>
  <c r="G19" i="19" s="1"/>
  <c r="F19" i="19"/>
  <c r="N18" i="19"/>
  <c r="O18" i="19" s="1"/>
  <c r="P18" i="19" s="1"/>
  <c r="G18" i="19" s="1"/>
  <c r="N17" i="19"/>
  <c r="O17" i="19" s="1"/>
  <c r="P17" i="19" s="1"/>
  <c r="G17" i="19" s="1"/>
  <c r="F17" i="19"/>
  <c r="N16" i="19"/>
  <c r="O16" i="19" s="1"/>
  <c r="P16" i="19" s="1"/>
  <c r="G16" i="19" s="1"/>
  <c r="F16" i="19"/>
  <c r="N15" i="19"/>
  <c r="O15" i="19" s="1"/>
  <c r="P15" i="19" s="1"/>
  <c r="G15" i="19" s="1"/>
  <c r="H15" i="19" s="1"/>
  <c r="N13" i="19"/>
  <c r="O13" i="19"/>
  <c r="P13" i="19" s="1"/>
  <c r="G13" i="19" s="1"/>
  <c r="H13" i="19" s="1"/>
  <c r="H11" i="19" s="1"/>
  <c r="N12" i="19"/>
  <c r="O12" i="19" s="1"/>
  <c r="P12" i="19" s="1"/>
  <c r="G12" i="19" s="1"/>
  <c r="H12" i="19" s="1"/>
  <c r="I12" i="19" s="1"/>
  <c r="M6" i="19"/>
  <c r="L6" i="19"/>
  <c r="M3" i="19"/>
  <c r="L3" i="19"/>
  <c r="F64" i="18"/>
  <c r="F46" i="18"/>
  <c r="F48" i="18"/>
  <c r="F18" i="18" s="1"/>
  <c r="F34" i="18"/>
  <c r="F30" i="18"/>
  <c r="F29" i="18"/>
  <c r="F27" i="18"/>
  <c r="F26" i="18"/>
  <c r="F15" i="18"/>
  <c r="N67" i="18"/>
  <c r="O67" i="18" s="1"/>
  <c r="P67" i="18" s="1"/>
  <c r="G67" i="18" s="1"/>
  <c r="H67" i="18" s="1"/>
  <c r="N64" i="18"/>
  <c r="O64" i="18" s="1"/>
  <c r="P64" i="18" s="1"/>
  <c r="G64" i="18" s="1"/>
  <c r="H64" i="18" s="1"/>
  <c r="I64" i="18" s="1"/>
  <c r="N63" i="18"/>
  <c r="O63" i="18"/>
  <c r="P63" i="18" s="1"/>
  <c r="G63" i="18" s="1"/>
  <c r="N61" i="18"/>
  <c r="O61" i="18" s="1"/>
  <c r="P61" i="18" s="1"/>
  <c r="G61" i="18" s="1"/>
  <c r="H61" i="18" s="1"/>
  <c r="I61" i="18" s="1"/>
  <c r="N60" i="18"/>
  <c r="O60" i="18"/>
  <c r="P60" i="18" s="1"/>
  <c r="G60" i="18" s="1"/>
  <c r="H60" i="18" s="1"/>
  <c r="I60" i="18" s="1"/>
  <c r="N59" i="18"/>
  <c r="O59" i="18" s="1"/>
  <c r="P59" i="18" s="1"/>
  <c r="G59" i="18" s="1"/>
  <c r="H59" i="18" s="1"/>
  <c r="I59" i="18" s="1"/>
  <c r="F59" i="18"/>
  <c r="N58" i="18"/>
  <c r="O58" i="18" s="1"/>
  <c r="P58" i="18" s="1"/>
  <c r="G58" i="18" s="1"/>
  <c r="H58" i="18" s="1"/>
  <c r="N56" i="18"/>
  <c r="O56" i="18" s="1"/>
  <c r="P56" i="18" s="1"/>
  <c r="G56" i="18" s="1"/>
  <c r="H56" i="18" s="1"/>
  <c r="I56" i="18" s="1"/>
  <c r="G55" i="18"/>
  <c r="H55" i="18"/>
  <c r="I55" i="18" s="1"/>
  <c r="G54" i="18"/>
  <c r="H54" i="18" s="1"/>
  <c r="I54" i="18" s="1"/>
  <c r="G53" i="18"/>
  <c r="H53" i="18" s="1"/>
  <c r="G52" i="18"/>
  <c r="H52" i="18" s="1"/>
  <c r="G51" i="18"/>
  <c r="H51" i="18" s="1"/>
  <c r="I51" i="18" s="1"/>
  <c r="G50" i="18"/>
  <c r="H50" i="18" s="1"/>
  <c r="G48" i="18"/>
  <c r="E48" i="18"/>
  <c r="N47" i="18"/>
  <c r="O47" i="18" s="1"/>
  <c r="P47" i="18" s="1"/>
  <c r="G47" i="18" s="1"/>
  <c r="N46" i="18"/>
  <c r="O46" i="18" s="1"/>
  <c r="P46" i="18" s="1"/>
  <c r="G46" i="18" s="1"/>
  <c r="H46" i="18" s="1"/>
  <c r="N45" i="18"/>
  <c r="O45" i="18" s="1"/>
  <c r="P45" i="18" s="1"/>
  <c r="B45" i="18"/>
  <c r="G43" i="18"/>
  <c r="G42" i="18"/>
  <c r="F42" i="18"/>
  <c r="F43" i="18" s="1"/>
  <c r="N40" i="18"/>
  <c r="O40" i="18"/>
  <c r="P40" i="18" s="1"/>
  <c r="G40" i="18" s="1"/>
  <c r="H40" i="18" s="1"/>
  <c r="I40" i="18" s="1"/>
  <c r="N37" i="18"/>
  <c r="O37" i="18" s="1"/>
  <c r="P37" i="18" s="1"/>
  <c r="G37" i="18" s="1"/>
  <c r="H37" i="18" s="1"/>
  <c r="I37" i="18" s="1"/>
  <c r="N35" i="18"/>
  <c r="O35" i="18"/>
  <c r="P35" i="18" s="1"/>
  <c r="H35" i="18"/>
  <c r="I35" i="18" s="1"/>
  <c r="N34" i="18"/>
  <c r="O34" i="18" s="1"/>
  <c r="P34" i="18" s="1"/>
  <c r="G34" i="18" s="1"/>
  <c r="N33" i="18"/>
  <c r="O33" i="18" s="1"/>
  <c r="P33" i="18" s="1"/>
  <c r="G33" i="18" s="1"/>
  <c r="F33" i="18"/>
  <c r="F37" i="18" s="1"/>
  <c r="N30" i="18"/>
  <c r="O30" i="18" s="1"/>
  <c r="P30" i="18" s="1"/>
  <c r="G30" i="18"/>
  <c r="H30" i="18" s="1"/>
  <c r="I30" i="18" s="1"/>
  <c r="G29" i="18"/>
  <c r="N28" i="18"/>
  <c r="O28" i="18" s="1"/>
  <c r="P28" i="18" s="1"/>
  <c r="G28" i="18" s="1"/>
  <c r="N27" i="18"/>
  <c r="O27" i="18" s="1"/>
  <c r="P27" i="18" s="1"/>
  <c r="G27" i="18" s="1"/>
  <c r="G45" i="18" s="1"/>
  <c r="N26" i="18"/>
  <c r="O26" i="18" s="1"/>
  <c r="P26" i="18" s="1"/>
  <c r="G26" i="18" s="1"/>
  <c r="N24" i="18"/>
  <c r="O24" i="18" s="1"/>
  <c r="P24" i="18" s="1"/>
  <c r="G24" i="18" s="1"/>
  <c r="H24" i="18" s="1"/>
  <c r="I24" i="18" s="1"/>
  <c r="N23" i="18"/>
  <c r="O23" i="18" s="1"/>
  <c r="P23" i="18" s="1"/>
  <c r="G23" i="18" s="1"/>
  <c r="H23" i="18" s="1"/>
  <c r="N22" i="18"/>
  <c r="O22" i="18" s="1"/>
  <c r="P22" i="18" s="1"/>
  <c r="G22" i="18" s="1"/>
  <c r="H22" i="18" s="1"/>
  <c r="N21" i="18"/>
  <c r="O21" i="18" s="1"/>
  <c r="P21" i="18" s="1"/>
  <c r="G21" i="18" s="1"/>
  <c r="N20" i="18"/>
  <c r="O20" i="18" s="1"/>
  <c r="P20" i="18" s="1"/>
  <c r="G20" i="18" s="1"/>
  <c r="H20" i="18" s="1"/>
  <c r="I20" i="18" s="1"/>
  <c r="N19" i="18"/>
  <c r="O19" i="18" s="1"/>
  <c r="P19" i="18" s="1"/>
  <c r="G19" i="18" s="1"/>
  <c r="H19" i="18" s="1"/>
  <c r="I19" i="18" s="1"/>
  <c r="N18" i="18"/>
  <c r="O18" i="18" s="1"/>
  <c r="P18" i="18" s="1"/>
  <c r="G18" i="18" s="1"/>
  <c r="H18" i="18" s="1"/>
  <c r="I18" i="18" s="1"/>
  <c r="N17" i="18"/>
  <c r="O17" i="18" s="1"/>
  <c r="P17" i="18" s="1"/>
  <c r="G17" i="18" s="1"/>
  <c r="H17" i="18" s="1"/>
  <c r="I17" i="18" s="1"/>
  <c r="N16" i="18"/>
  <c r="O16" i="18" s="1"/>
  <c r="P16" i="18" s="1"/>
  <c r="G16" i="18" s="1"/>
  <c r="N15" i="18"/>
  <c r="O15" i="18" s="1"/>
  <c r="P15" i="18" s="1"/>
  <c r="G15" i="18" s="1"/>
  <c r="H15" i="18" s="1"/>
  <c r="I15" i="18" s="1"/>
  <c r="N13" i="18"/>
  <c r="O13" i="18" s="1"/>
  <c r="P13" i="18" s="1"/>
  <c r="G13" i="18" s="1"/>
  <c r="H13" i="18" s="1"/>
  <c r="I13" i="18" s="1"/>
  <c r="N12" i="18"/>
  <c r="O12" i="18"/>
  <c r="P12" i="18" s="1"/>
  <c r="G12" i="18" s="1"/>
  <c r="H12" i="18" s="1"/>
  <c r="I12" i="18" s="1"/>
  <c r="M6" i="18"/>
  <c r="L6" i="18"/>
  <c r="M3" i="18"/>
  <c r="L3" i="18"/>
  <c r="F109" i="10"/>
  <c r="G106" i="10"/>
  <c r="H106" i="10" s="1"/>
  <c r="I106" i="10" s="1"/>
  <c r="G105" i="10"/>
  <c r="G99" i="10"/>
  <c r="H99" i="10" s="1"/>
  <c r="I99" i="10" s="1"/>
  <c r="G96" i="10"/>
  <c r="G95" i="10"/>
  <c r="H95" i="10" s="1"/>
  <c r="I95" i="10" s="1"/>
  <c r="G94" i="10"/>
  <c r="G93" i="10"/>
  <c r="H93" i="10" s="1"/>
  <c r="G92" i="10"/>
  <c r="G91" i="10"/>
  <c r="H91" i="10" s="1"/>
  <c r="I91" i="10" s="1"/>
  <c r="G85" i="10"/>
  <c r="G88" i="10"/>
  <c r="H88" i="10" s="1"/>
  <c r="G87" i="10"/>
  <c r="H87" i="10" s="1"/>
  <c r="G86" i="10"/>
  <c r="H86" i="10" s="1"/>
  <c r="G89" i="10"/>
  <c r="H89" i="10" s="1"/>
  <c r="I89" i="10" s="1"/>
  <c r="G84" i="10"/>
  <c r="G83" i="10"/>
  <c r="G82" i="10"/>
  <c r="H82" i="10" s="1"/>
  <c r="G78" i="10"/>
  <c r="H78" i="10" s="1"/>
  <c r="G77" i="10"/>
  <c r="G76" i="10"/>
  <c r="H76" i="10" s="1"/>
  <c r="I76" i="10" s="1"/>
  <c r="G75" i="10"/>
  <c r="G74" i="10"/>
  <c r="G73" i="10"/>
  <c r="H73" i="10" s="1"/>
  <c r="I73" i="10" s="1"/>
  <c r="G64" i="10"/>
  <c r="H64" i="10" s="1"/>
  <c r="F61" i="10"/>
  <c r="F60" i="10" s="1"/>
  <c r="G61" i="10"/>
  <c r="N57" i="10"/>
  <c r="O57" i="10" s="1"/>
  <c r="P57" i="10" s="1"/>
  <c r="G52" i="10"/>
  <c r="G51" i="10"/>
  <c r="H51" i="10" s="1"/>
  <c r="I51" i="10" s="1"/>
  <c r="N40" i="10"/>
  <c r="O40" i="10" s="1"/>
  <c r="P40" i="10" s="1"/>
  <c r="G40" i="10" s="1"/>
  <c r="G35" i="10"/>
  <c r="N29" i="10"/>
  <c r="O29" i="10"/>
  <c r="P29" i="10" s="1"/>
  <c r="G29" i="10" s="1"/>
  <c r="N28" i="10"/>
  <c r="O28" i="10"/>
  <c r="P28" i="10" s="1"/>
  <c r="G28" i="10" s="1"/>
  <c r="H28" i="10" s="1"/>
  <c r="F32" i="10"/>
  <c r="F108" i="10" s="1"/>
  <c r="F31" i="10"/>
  <c r="H31" i="10" s="1"/>
  <c r="G30" i="10"/>
  <c r="F30" i="10"/>
  <c r="H30" i="10" s="1"/>
  <c r="G31" i="10"/>
  <c r="G33" i="10"/>
  <c r="G32" i="10"/>
  <c r="N13" i="10"/>
  <c r="O13" i="10" s="1"/>
  <c r="P13" i="10" s="1"/>
  <c r="G13" i="10" s="1"/>
  <c r="H13" i="10" s="1"/>
  <c r="I13" i="10" s="1"/>
  <c r="N12" i="10"/>
  <c r="O12" i="10"/>
  <c r="P12" i="10" s="1"/>
  <c r="G12" i="10" s="1"/>
  <c r="H12" i="10" s="1"/>
  <c r="I12" i="10" s="1"/>
  <c r="F51" i="10"/>
  <c r="F59" i="10"/>
  <c r="F40" i="10"/>
  <c r="F39" i="10"/>
  <c r="F44" i="10" s="1"/>
  <c r="F38" i="10"/>
  <c r="F26" i="10"/>
  <c r="F34" i="10"/>
  <c r="F35" i="10"/>
  <c r="H35" i="10" s="1"/>
  <c r="F19" i="10"/>
  <c r="F27" i="10"/>
  <c r="F24" i="10"/>
  <c r="F23" i="10"/>
  <c r="M3" i="10"/>
  <c r="F22" i="10"/>
  <c r="F21" i="10"/>
  <c r="F20" i="10"/>
  <c r="F17" i="10"/>
  <c r="F15" i="10"/>
  <c r="M6" i="10"/>
  <c r="L3" i="10"/>
  <c r="L6" i="10"/>
  <c r="N22" i="10"/>
  <c r="O22" i="10"/>
  <c r="P22" i="10" s="1"/>
  <c r="G22" i="10" s="1"/>
  <c r="B32" i="16"/>
  <c r="B30" i="16"/>
  <c r="B28" i="16"/>
  <c r="B26" i="16"/>
  <c r="B24" i="16"/>
  <c r="B22" i="16"/>
  <c r="B20" i="16"/>
  <c r="B18" i="16"/>
  <c r="B16" i="16"/>
  <c r="F15" i="16"/>
  <c r="B14" i="16"/>
  <c r="B12" i="16"/>
  <c r="B10" i="16"/>
  <c r="B32" i="15"/>
  <c r="B30" i="15"/>
  <c r="B28" i="15"/>
  <c r="B26" i="15"/>
  <c r="B24" i="15"/>
  <c r="B22" i="15"/>
  <c r="B20" i="15"/>
  <c r="B18" i="15"/>
  <c r="B16" i="15"/>
  <c r="B14" i="15"/>
  <c r="B12" i="15"/>
  <c r="B10" i="15"/>
  <c r="H33" i="15"/>
  <c r="N112" i="10"/>
  <c r="O112" i="10"/>
  <c r="P112" i="10" s="1"/>
  <c r="G112" i="10" s="1"/>
  <c r="H112" i="10" s="1"/>
  <c r="F106" i="10"/>
  <c r="F105" i="10"/>
  <c r="H105" i="10" s="1"/>
  <c r="I105" i="10" s="1"/>
  <c r="F101" i="10"/>
  <c r="H94" i="10"/>
  <c r="N104" i="10"/>
  <c r="O104" i="10" s="1"/>
  <c r="P104" i="10" s="1"/>
  <c r="G104" i="10" s="1"/>
  <c r="H104" i="10" s="1"/>
  <c r="I104" i="10" s="1"/>
  <c r="N103" i="10"/>
  <c r="O103" i="10" s="1"/>
  <c r="P103" i="10" s="1"/>
  <c r="G103" i="10" s="1"/>
  <c r="H103" i="10" s="1"/>
  <c r="I103" i="10" s="1"/>
  <c r="N102" i="10"/>
  <c r="O102" i="10" s="1"/>
  <c r="P102" i="10" s="1"/>
  <c r="G102" i="10" s="1"/>
  <c r="H102" i="10" s="1"/>
  <c r="I102" i="10" s="1"/>
  <c r="N101" i="10"/>
  <c r="O101" i="10" s="1"/>
  <c r="P101" i="10" s="1"/>
  <c r="G101" i="10" s="1"/>
  <c r="N100" i="10"/>
  <c r="O100" i="10" s="1"/>
  <c r="P100" i="10" s="1"/>
  <c r="G100" i="10" s="1"/>
  <c r="H100" i="10" s="1"/>
  <c r="I100" i="10" s="1"/>
  <c r="N97" i="10"/>
  <c r="O97" i="10" s="1"/>
  <c r="P97" i="10"/>
  <c r="G97" i="10" s="1"/>
  <c r="H97" i="10" s="1"/>
  <c r="I97" i="10" s="1"/>
  <c r="N80" i="10"/>
  <c r="O80" i="10" s="1"/>
  <c r="P80" i="10" s="1"/>
  <c r="G80" i="10" s="1"/>
  <c r="H80" i="10" s="1"/>
  <c r="N79" i="10"/>
  <c r="O79" i="10" s="1"/>
  <c r="P79" i="10" s="1"/>
  <c r="G79" i="10" s="1"/>
  <c r="H79" i="10" s="1"/>
  <c r="H96" i="10"/>
  <c r="I96" i="10" s="1"/>
  <c r="H92" i="10"/>
  <c r="I92" i="10" s="1"/>
  <c r="F52" i="10"/>
  <c r="H52" i="10" s="1"/>
  <c r="H50" i="10" s="1"/>
  <c r="C18" i="15" s="1"/>
  <c r="H84" i="10"/>
  <c r="H83" i="10"/>
  <c r="G65" i="10"/>
  <c r="H65" i="10" s="1"/>
  <c r="I65" i="10" s="1"/>
  <c r="G63" i="10"/>
  <c r="H63" i="10" s="1"/>
  <c r="H77" i="10"/>
  <c r="H74" i="10"/>
  <c r="I74" i="10" s="1"/>
  <c r="N72" i="10"/>
  <c r="O72" i="10" s="1"/>
  <c r="P72" i="10" s="1"/>
  <c r="G72" i="10" s="1"/>
  <c r="H72" i="10" s="1"/>
  <c r="N71" i="10"/>
  <c r="O71" i="10" s="1"/>
  <c r="P71" i="10" s="1"/>
  <c r="G71" i="10" s="1"/>
  <c r="H71" i="10" s="1"/>
  <c r="N70" i="10"/>
  <c r="O70" i="10" s="1"/>
  <c r="P70" i="10" s="1"/>
  <c r="G70" i="10" s="1"/>
  <c r="H70" i="10" s="1"/>
  <c r="N74" i="10"/>
  <c r="O74" i="10"/>
  <c r="P74" i="10" s="1"/>
  <c r="N73" i="10"/>
  <c r="O73" i="10" s="1"/>
  <c r="P73" i="10"/>
  <c r="N69" i="10"/>
  <c r="O69" i="10"/>
  <c r="P69" i="10" s="1"/>
  <c r="G69" i="10" s="1"/>
  <c r="H69" i="10" s="1"/>
  <c r="N68" i="10"/>
  <c r="O68" i="10" s="1"/>
  <c r="P68" i="10" s="1"/>
  <c r="G68" i="10" s="1"/>
  <c r="H68" i="10" s="1"/>
  <c r="I68" i="10" s="1"/>
  <c r="N67" i="10"/>
  <c r="O67" i="10" s="1"/>
  <c r="P67" i="10" s="1"/>
  <c r="G67" i="10" s="1"/>
  <c r="H67" i="10" s="1"/>
  <c r="I67" i="10" s="1"/>
  <c r="N66" i="10"/>
  <c r="O66" i="10" s="1"/>
  <c r="P66" i="10" s="1"/>
  <c r="G66" i="10" s="1"/>
  <c r="H66" i="10" s="1"/>
  <c r="I66" i="10" s="1"/>
  <c r="N65" i="10"/>
  <c r="O65" i="10" s="1"/>
  <c r="P65" i="10" s="1"/>
  <c r="N15" i="10"/>
  <c r="O15" i="10" s="1"/>
  <c r="P15" i="10"/>
  <c r="G15" i="10" s="1"/>
  <c r="F16" i="10"/>
  <c r="N16" i="10"/>
  <c r="O16" i="10" s="1"/>
  <c r="P16" i="10" s="1"/>
  <c r="G16" i="10" s="1"/>
  <c r="N17" i="10"/>
  <c r="O17" i="10" s="1"/>
  <c r="P17" i="10" s="1"/>
  <c r="G17" i="10" s="1"/>
  <c r="H17" i="10" s="1"/>
  <c r="I17" i="10" s="1"/>
  <c r="N18" i="10"/>
  <c r="O18" i="10"/>
  <c r="P18" i="10" s="1"/>
  <c r="G18" i="10" s="1"/>
  <c r="H18" i="10" s="1"/>
  <c r="I18" i="10" s="1"/>
  <c r="N19" i="10"/>
  <c r="O19" i="10" s="1"/>
  <c r="P19" i="10" s="1"/>
  <c r="G19" i="10" s="1"/>
  <c r="H19" i="10" s="1"/>
  <c r="I19" i="10" s="1"/>
  <c r="N20" i="10"/>
  <c r="O20" i="10" s="1"/>
  <c r="P20" i="10" s="1"/>
  <c r="G20" i="10" s="1"/>
  <c r="N21" i="10"/>
  <c r="O21" i="10" s="1"/>
  <c r="P21" i="10" s="1"/>
  <c r="G21" i="10" s="1"/>
  <c r="H21" i="10" s="1"/>
  <c r="I21" i="10" s="1"/>
  <c r="N23" i="10"/>
  <c r="O23" i="10" s="1"/>
  <c r="P23" i="10" s="1"/>
  <c r="G23" i="10" s="1"/>
  <c r="H23" i="10" s="1"/>
  <c r="N24" i="10"/>
  <c r="O24" i="10" s="1"/>
  <c r="P24" i="10" s="1"/>
  <c r="G24" i="10" s="1"/>
  <c r="H24" i="10" s="1"/>
  <c r="I24" i="10" s="1"/>
  <c r="N26" i="10"/>
  <c r="O26" i="10" s="1"/>
  <c r="P26" i="10" s="1"/>
  <c r="G26" i="10" s="1"/>
  <c r="N27" i="10"/>
  <c r="O27" i="10" s="1"/>
  <c r="P27" i="10" s="1"/>
  <c r="G27" i="10" s="1"/>
  <c r="N32" i="10"/>
  <c r="O32" i="10" s="1"/>
  <c r="P32" i="10" s="1"/>
  <c r="N33" i="10"/>
  <c r="O33" i="10" s="1"/>
  <c r="P33" i="10" s="1"/>
  <c r="N34" i="10"/>
  <c r="O34" i="10"/>
  <c r="P34" i="10" s="1"/>
  <c r="G34" i="10" s="1"/>
  <c r="H34" i="10" s="1"/>
  <c r="I34" i="10" s="1"/>
  <c r="N38" i="10"/>
  <c r="O38" i="10" s="1"/>
  <c r="P38" i="10" s="1"/>
  <c r="G38" i="10" s="1"/>
  <c r="H38" i="10" s="1"/>
  <c r="N39" i="10"/>
  <c r="O39" i="10" s="1"/>
  <c r="P39" i="10" s="1"/>
  <c r="G39" i="10" s="1"/>
  <c r="H41" i="10"/>
  <c r="I41" i="10" s="1"/>
  <c r="N41" i="10"/>
  <c r="O41" i="10" s="1"/>
  <c r="P41" i="10" s="1"/>
  <c r="H42" i="10"/>
  <c r="I42" i="10" s="1"/>
  <c r="N42" i="10"/>
  <c r="O42" i="10" s="1"/>
  <c r="P42" i="10" s="1"/>
  <c r="N44" i="10"/>
  <c r="O44" i="10" s="1"/>
  <c r="P44" i="10" s="1"/>
  <c r="G44" i="10" s="1"/>
  <c r="N47" i="10"/>
  <c r="O47" i="10" s="1"/>
  <c r="P47" i="10" s="1"/>
  <c r="G47" i="10" s="1"/>
  <c r="H47" i="10" s="1"/>
  <c r="I47" i="10" s="1"/>
  <c r="N48" i="10"/>
  <c r="O48" i="10" s="1"/>
  <c r="P48" i="10" s="1"/>
  <c r="G48" i="10" s="1"/>
  <c r="H48" i="10" s="1"/>
  <c r="I48" i="10" s="1"/>
  <c r="B57" i="10"/>
  <c r="N59" i="10"/>
  <c r="O59" i="10"/>
  <c r="P59" i="10" s="1"/>
  <c r="G59" i="10" s="1"/>
  <c r="N60" i="10"/>
  <c r="O60" i="10" s="1"/>
  <c r="P60" i="10" s="1"/>
  <c r="G60" i="10" s="1"/>
  <c r="E61" i="10"/>
  <c r="H75" i="10"/>
  <c r="I75" i="10" s="1"/>
  <c r="H85" i="10"/>
  <c r="I85" i="10" s="1"/>
  <c r="N108" i="10"/>
  <c r="O108" i="10" s="1"/>
  <c r="P108" i="10" s="1"/>
  <c r="G108" i="10" s="1"/>
  <c r="H108" i="10" s="1"/>
  <c r="N109" i="10"/>
  <c r="O109" i="10" s="1"/>
  <c r="P109" i="10" s="1"/>
  <c r="G109" i="10" s="1"/>
  <c r="H109" i="10" s="1"/>
  <c r="I109" i="10" s="1"/>
  <c r="F12" i="1"/>
  <c r="G14" i="1" s="1"/>
  <c r="F17" i="1"/>
  <c r="F18" i="1"/>
  <c r="F19" i="1"/>
  <c r="F20" i="1"/>
  <c r="G24" i="1" s="1"/>
  <c r="F21" i="1"/>
  <c r="F22" i="1"/>
  <c r="F27" i="1"/>
  <c r="F28" i="1"/>
  <c r="F29" i="1"/>
  <c r="F30" i="1"/>
  <c r="F31" i="1"/>
  <c r="G33" i="1" s="1"/>
  <c r="F36" i="1"/>
  <c r="F37" i="1"/>
  <c r="F38" i="1"/>
  <c r="F39" i="1"/>
  <c r="F40" i="1"/>
  <c r="F45" i="1"/>
  <c r="G47" i="1" s="1"/>
  <c r="F50" i="1"/>
  <c r="G53" i="1" s="1"/>
  <c r="F51" i="1"/>
  <c r="F56" i="1"/>
  <c r="F57" i="1"/>
  <c r="F58" i="1"/>
  <c r="G81" i="1" s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4" i="1"/>
  <c r="F85" i="1"/>
  <c r="F86" i="1"/>
  <c r="F87" i="1"/>
  <c r="F88" i="1"/>
  <c r="F89" i="1"/>
  <c r="F90" i="1"/>
  <c r="F91" i="1"/>
  <c r="F92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5" i="1"/>
  <c r="F116" i="1"/>
  <c r="G118" i="1" s="1"/>
  <c r="F121" i="1"/>
  <c r="G123" i="1" s="1"/>
  <c r="H16" i="19"/>
  <c r="I13" i="19"/>
  <c r="F28" i="18"/>
  <c r="F63" i="18" s="1"/>
  <c r="H63" i="18" s="1"/>
  <c r="H62" i="18" s="1"/>
  <c r="H29" i="18"/>
  <c r="I58" i="18"/>
  <c r="H66" i="18"/>
  <c r="I67" i="18"/>
  <c r="H27" i="18"/>
  <c r="I27" i="18" s="1"/>
  <c r="H33" i="18"/>
  <c r="O6" i="10"/>
  <c r="O4" i="10" s="1"/>
  <c r="H32" i="10"/>
  <c r="I32" i="10" s="1"/>
  <c r="I33" i="18"/>
  <c r="H11" i="10"/>
  <c r="C10" i="15" s="1"/>
  <c r="F47" i="18" l="1"/>
  <c r="H47" i="18" s="1"/>
  <c r="I63" i="18"/>
  <c r="H48" i="18"/>
  <c r="F45" i="18"/>
  <c r="H45" i="18" s="1"/>
  <c r="I45" i="18" s="1"/>
  <c r="H66" i="19"/>
  <c r="G94" i="1"/>
  <c r="H61" i="10"/>
  <c r="H37" i="19"/>
  <c r="I37" i="19" s="1"/>
  <c r="H46" i="19"/>
  <c r="F47" i="19"/>
  <c r="H20" i="10"/>
  <c r="I20" i="10" s="1"/>
  <c r="H81" i="10"/>
  <c r="C24" i="15" s="1"/>
  <c r="H22" i="10"/>
  <c r="O6" i="18"/>
  <c r="O4" i="18" s="1"/>
  <c r="H16" i="18"/>
  <c r="H43" i="19"/>
  <c r="H41" i="19" s="1"/>
  <c r="G112" i="1"/>
  <c r="G42" i="1"/>
  <c r="G127" i="1" s="1"/>
  <c r="H16" i="10"/>
  <c r="H21" i="18"/>
  <c r="I21" i="18" s="1"/>
  <c r="H43" i="18"/>
  <c r="H34" i="18"/>
  <c r="O6" i="19"/>
  <c r="O4" i="19" s="1"/>
  <c r="H24" i="19"/>
  <c r="I24" i="19" s="1"/>
  <c r="I50" i="18"/>
  <c r="H49" i="18"/>
  <c r="I15" i="19"/>
  <c r="I42" i="19"/>
  <c r="H26" i="18"/>
  <c r="H47" i="19"/>
  <c r="H31" i="18"/>
  <c r="H28" i="18"/>
  <c r="F63" i="19"/>
  <c r="H63" i="19" s="1"/>
  <c r="H39" i="10"/>
  <c r="I39" i="10" s="1"/>
  <c r="F33" i="10"/>
  <c r="H26" i="10"/>
  <c r="I26" i="10" s="1"/>
  <c r="H40" i="10"/>
  <c r="H36" i="10" s="1"/>
  <c r="C16" i="15" s="1"/>
  <c r="H22" i="19"/>
  <c r="H29" i="19"/>
  <c r="H34" i="19"/>
  <c r="F45" i="19"/>
  <c r="F18" i="19"/>
  <c r="H18" i="19" s="1"/>
  <c r="I18" i="19" s="1"/>
  <c r="H59" i="19"/>
  <c r="H42" i="18"/>
  <c r="H33" i="19"/>
  <c r="H44" i="10"/>
  <c r="I44" i="10" s="1"/>
  <c r="H59" i="10"/>
  <c r="H15" i="10"/>
  <c r="H11" i="18"/>
  <c r="H49" i="19"/>
  <c r="H60" i="10"/>
  <c r="H17" i="19"/>
  <c r="I17" i="19" s="1"/>
  <c r="H19" i="19"/>
  <c r="I19" i="19" s="1"/>
  <c r="H21" i="19"/>
  <c r="I21" i="19" s="1"/>
  <c r="H23" i="19"/>
  <c r="H30" i="19"/>
  <c r="I30" i="19" s="1"/>
  <c r="H58" i="10"/>
  <c r="L26" i="25"/>
  <c r="N26" i="25"/>
  <c r="M26" i="25"/>
  <c r="G11" i="25"/>
  <c r="I31" i="17"/>
  <c r="C24" i="16"/>
  <c r="H23" i="16" s="1"/>
  <c r="C28" i="16"/>
  <c r="C22" i="16"/>
  <c r="G21" i="16" s="1"/>
  <c r="F17" i="15"/>
  <c r="E17" i="15"/>
  <c r="E9" i="15"/>
  <c r="H62" i="19"/>
  <c r="I63" i="19"/>
  <c r="H107" i="10"/>
  <c r="C30" i="15" s="1"/>
  <c r="I108" i="10"/>
  <c r="H27" i="10"/>
  <c r="I27" i="10" s="1"/>
  <c r="G57" i="10"/>
  <c r="H57" i="10" s="1"/>
  <c r="I57" i="10" s="1"/>
  <c r="H101" i="10"/>
  <c r="I101" i="10" s="1"/>
  <c r="H23" i="15"/>
  <c r="I38" i="10"/>
  <c r="I15" i="10"/>
  <c r="H14" i="10"/>
  <c r="C12" i="15" s="1"/>
  <c r="H111" i="10"/>
  <c r="I112" i="10"/>
  <c r="G45" i="19"/>
  <c r="H27" i="19"/>
  <c r="H62" i="10"/>
  <c r="C22" i="15" s="1"/>
  <c r="H90" i="10"/>
  <c r="C26" i="15" s="1"/>
  <c r="H53" i="10"/>
  <c r="H57" i="18"/>
  <c r="I89" i="17"/>
  <c r="I96" i="17"/>
  <c r="I98" i="17" s="1"/>
  <c r="C34" i="25" s="1"/>
  <c r="H18" i="1" l="1"/>
  <c r="H17" i="1"/>
  <c r="H12" i="1"/>
  <c r="H14" i="1" s="1"/>
  <c r="H45" i="1"/>
  <c r="H47" i="1" s="1"/>
  <c r="H20" i="1"/>
  <c r="H14" i="18"/>
  <c r="H44" i="18"/>
  <c r="I33" i="19"/>
  <c r="H31" i="19"/>
  <c r="I26" i="18"/>
  <c r="H25" i="18"/>
  <c r="H27" i="1"/>
  <c r="H29" i="1"/>
  <c r="H31" i="1"/>
  <c r="H51" i="1"/>
  <c r="H56" i="1"/>
  <c r="H58" i="1"/>
  <c r="H60" i="1"/>
  <c r="H62" i="1"/>
  <c r="H64" i="1"/>
  <c r="H66" i="1"/>
  <c r="H68" i="1"/>
  <c r="H70" i="1"/>
  <c r="H74" i="1"/>
  <c r="H76" i="1"/>
  <c r="H78" i="1"/>
  <c r="H85" i="1"/>
  <c r="H87" i="1"/>
  <c r="H89" i="1"/>
  <c r="H91" i="1"/>
  <c r="H98" i="1"/>
  <c r="H100" i="1"/>
  <c r="H102" i="1"/>
  <c r="H104" i="1"/>
  <c r="H106" i="1"/>
  <c r="H110" i="1"/>
  <c r="H115" i="1"/>
  <c r="H28" i="1"/>
  <c r="H50" i="1"/>
  <c r="H53" i="1" s="1"/>
  <c r="H59" i="1"/>
  <c r="H63" i="1"/>
  <c r="H69" i="1"/>
  <c r="H73" i="1"/>
  <c r="H77" i="1"/>
  <c r="H84" i="1"/>
  <c r="H90" i="1"/>
  <c r="H97" i="1"/>
  <c r="H101" i="1"/>
  <c r="H105" i="1"/>
  <c r="H109" i="1"/>
  <c r="H121" i="1"/>
  <c r="H123" i="1" s="1"/>
  <c r="H72" i="1"/>
  <c r="H108" i="1"/>
  <c r="H67" i="1"/>
  <c r="H88" i="1"/>
  <c r="H116" i="1"/>
  <c r="G129" i="1"/>
  <c r="H30" i="1"/>
  <c r="H57" i="1"/>
  <c r="H61" i="1"/>
  <c r="H65" i="1"/>
  <c r="H71" i="1"/>
  <c r="H75" i="1"/>
  <c r="H79" i="1"/>
  <c r="H86" i="1"/>
  <c r="H92" i="1"/>
  <c r="H99" i="1"/>
  <c r="H103" i="1"/>
  <c r="H107" i="1"/>
  <c r="G128" i="1"/>
  <c r="H98" i="10"/>
  <c r="C28" i="15" s="1"/>
  <c r="H45" i="19"/>
  <c r="I45" i="19" s="1"/>
  <c r="H37" i="1"/>
  <c r="H38" i="1"/>
  <c r="I59" i="19"/>
  <c r="H57" i="19"/>
  <c r="H33" i="10"/>
  <c r="I33" i="10" s="1"/>
  <c r="F29" i="10"/>
  <c r="H29" i="10" s="1"/>
  <c r="H40" i="1"/>
  <c r="H22" i="1"/>
  <c r="H19" i="1"/>
  <c r="H41" i="18"/>
  <c r="I42" i="18"/>
  <c r="H69" i="18"/>
  <c r="H70" i="18" s="1"/>
  <c r="H36" i="1"/>
  <c r="H21" i="1"/>
  <c r="H14" i="19"/>
  <c r="H39" i="1"/>
  <c r="S26" i="25"/>
  <c r="O34" i="25"/>
  <c r="I34" i="25"/>
  <c r="L34" i="25"/>
  <c r="K34" i="25"/>
  <c r="N34" i="25"/>
  <c r="J34" i="25"/>
  <c r="M34" i="25"/>
  <c r="C18" i="25"/>
  <c r="U18" i="25"/>
  <c r="S11" i="25"/>
  <c r="I90" i="17"/>
  <c r="C32" i="25" s="1"/>
  <c r="C26" i="16"/>
  <c r="H25" i="16" s="1"/>
  <c r="C10" i="16"/>
  <c r="E9" i="16" s="1"/>
  <c r="C32" i="16"/>
  <c r="H31" i="16" s="1"/>
  <c r="C20" i="15"/>
  <c r="I27" i="19"/>
  <c r="H25" i="19"/>
  <c r="G27" i="15"/>
  <c r="F27" i="15"/>
  <c r="E11" i="15"/>
  <c r="G15" i="15"/>
  <c r="F15" i="15"/>
  <c r="H25" i="10"/>
  <c r="C14" i="15" s="1"/>
  <c r="H25" i="15"/>
  <c r="G21" i="15"/>
  <c r="C32" i="15"/>
  <c r="G29" i="15"/>
  <c r="H29" i="15"/>
  <c r="C18" i="16"/>
  <c r="F27" i="16"/>
  <c r="G27" i="16"/>
  <c r="H44" i="19" l="1"/>
  <c r="H69" i="19" s="1"/>
  <c r="H70" i="19" s="1"/>
  <c r="H81" i="1"/>
  <c r="H114" i="10"/>
  <c r="H42" i="1"/>
  <c r="G131" i="1"/>
  <c r="H94" i="1"/>
  <c r="H118" i="1"/>
  <c r="H33" i="1"/>
  <c r="H24" i="1"/>
  <c r="H127" i="1" s="1"/>
  <c r="H112" i="1"/>
  <c r="N32" i="25"/>
  <c r="N94" i="25" s="1"/>
  <c r="O32" i="25"/>
  <c r="O94" i="25" s="1"/>
  <c r="M32" i="25"/>
  <c r="G18" i="25"/>
  <c r="G94" i="25" s="1"/>
  <c r="G96" i="25" s="1"/>
  <c r="H18" i="25"/>
  <c r="J18" i="25"/>
  <c r="I18" i="25"/>
  <c r="S34" i="25"/>
  <c r="C12" i="16"/>
  <c r="E11" i="16" s="1"/>
  <c r="C20" i="16"/>
  <c r="G19" i="16" s="1"/>
  <c r="E17" i="16"/>
  <c r="F17" i="16"/>
  <c r="H31" i="15"/>
  <c r="C35" i="15"/>
  <c r="D32" i="15" s="1"/>
  <c r="G19" i="15"/>
  <c r="H19" i="15"/>
  <c r="E13" i="15"/>
  <c r="E36" i="15" s="1"/>
  <c r="F13" i="15"/>
  <c r="F36" i="15" s="1"/>
  <c r="G36" i="15"/>
  <c r="L62" i="10"/>
  <c r="C14" i="16"/>
  <c r="S18" i="25" l="1"/>
  <c r="S32" i="25"/>
  <c r="T32" i="25" s="1"/>
  <c r="M94" i="25"/>
  <c r="F38" i="15"/>
  <c r="D20" i="15"/>
  <c r="D14" i="15"/>
  <c r="H36" i="15"/>
  <c r="H38" i="15" s="1"/>
  <c r="H19" i="16"/>
  <c r="E38" i="15"/>
  <c r="E39" i="15" s="1"/>
  <c r="E37" i="15"/>
  <c r="F37" i="15" s="1"/>
  <c r="G37" i="15" s="1"/>
  <c r="G38" i="15"/>
  <c r="D34" i="15"/>
  <c r="D18" i="15"/>
  <c r="D10" i="15"/>
  <c r="D24" i="15"/>
  <c r="D12" i="15"/>
  <c r="D30" i="15"/>
  <c r="D28" i="15"/>
  <c r="D16" i="15"/>
  <c r="D26" i="15"/>
  <c r="D22" i="15"/>
  <c r="E13" i="16"/>
  <c r="E35" i="16" s="1"/>
  <c r="F13" i="16"/>
  <c r="F35" i="16" s="1"/>
  <c r="H37" i="15" l="1"/>
  <c r="F39" i="15"/>
  <c r="G39" i="15" s="1"/>
  <c r="H39" i="15" s="1"/>
  <c r="D35" i="15"/>
  <c r="C30" i="16"/>
  <c r="E36" i="16"/>
  <c r="F36" i="16" s="1"/>
  <c r="H29" i="16" l="1"/>
  <c r="H35" i="16" s="1"/>
  <c r="G29" i="16"/>
  <c r="G35" i="16" s="1"/>
  <c r="C34" i="16"/>
  <c r="D30" i="16" s="1"/>
  <c r="H37" i="16" l="1"/>
  <c r="D14" i="16"/>
  <c r="D12" i="16"/>
  <c r="D22" i="16"/>
  <c r="D24" i="16"/>
  <c r="D28" i="16"/>
  <c r="D16" i="16"/>
  <c r="D32" i="16"/>
  <c r="D18" i="16"/>
  <c r="D26" i="16"/>
  <c r="D20" i="16"/>
  <c r="D10" i="16"/>
  <c r="F37" i="16"/>
  <c r="E37" i="16"/>
  <c r="E38" i="16" s="1"/>
  <c r="G37" i="16"/>
  <c r="G36" i="16"/>
  <c r="H36" i="16" s="1"/>
  <c r="F38" i="16" l="1"/>
  <c r="G38" i="16" s="1"/>
  <c r="H38" i="16" s="1"/>
  <c r="D34" i="16"/>
  <c r="I22" i="23" l="1"/>
  <c r="I25" i="23" s="1"/>
  <c r="C33" i="23" s="1"/>
  <c r="C36" i="23" s="1"/>
  <c r="C37" i="23" s="1"/>
  <c r="H207" i="17" l="1"/>
  <c r="I207" i="17" s="1"/>
  <c r="I218" i="17" s="1"/>
  <c r="H35" i="17"/>
  <c r="I35" i="17" s="1"/>
  <c r="I46" i="17" s="1"/>
  <c r="C59" i="25" l="1"/>
  <c r="I364" i="17"/>
  <c r="H379" i="17" s="1"/>
  <c r="H380" i="17" s="1"/>
  <c r="C20" i="25"/>
  <c r="I190" i="17"/>
  <c r="H377" i="17" s="1"/>
  <c r="H378" i="17" s="1"/>
  <c r="H382" i="17" l="1"/>
  <c r="C93" i="25"/>
  <c r="D59" i="25" s="1"/>
  <c r="H59" i="25"/>
  <c r="K59" i="25"/>
  <c r="J59" i="25"/>
  <c r="I59" i="25"/>
  <c r="L59" i="25"/>
  <c r="L20" i="25"/>
  <c r="I20" i="25"/>
  <c r="K20" i="25"/>
  <c r="H20" i="25"/>
  <c r="J20" i="25"/>
  <c r="D91" i="25" l="1"/>
  <c r="E95" i="25"/>
  <c r="F95" i="25"/>
  <c r="E97" i="25"/>
  <c r="F97" i="25"/>
  <c r="I94" i="25"/>
  <c r="I95" i="25" s="1"/>
  <c r="J94" i="25"/>
  <c r="J95" i="25" s="1"/>
  <c r="S59" i="25"/>
  <c r="D20" i="25"/>
  <c r="K94" i="25"/>
  <c r="K95" i="25" s="1"/>
  <c r="S20" i="25"/>
  <c r="H94" i="25"/>
  <c r="H96" i="25" s="1"/>
  <c r="L94" i="25"/>
  <c r="L95" i="25" s="1"/>
  <c r="D18" i="25"/>
  <c r="D89" i="25"/>
  <c r="D28" i="25"/>
  <c r="D85" i="25"/>
  <c r="D40" i="25"/>
  <c r="D81" i="25"/>
  <c r="D75" i="25"/>
  <c r="D46" i="25"/>
  <c r="D48" i="25"/>
  <c r="D22" i="25"/>
  <c r="D34" i="25"/>
  <c r="D42" i="25"/>
  <c r="D11" i="25"/>
  <c r="D65" i="25"/>
  <c r="D44" i="25"/>
  <c r="Q95" i="25"/>
  <c r="N95" i="25"/>
  <c r="D30" i="25"/>
  <c r="D87" i="25"/>
  <c r="D36" i="25"/>
  <c r="D83" i="25"/>
  <c r="D71" i="25"/>
  <c r="R95" i="25"/>
  <c r="D50" i="25"/>
  <c r="D24" i="25"/>
  <c r="D73" i="25"/>
  <c r="D67" i="25"/>
  <c r="O95" i="25"/>
  <c r="D63" i="25"/>
  <c r="D57" i="25"/>
  <c r="D79" i="25"/>
  <c r="P95" i="25"/>
  <c r="D38" i="25"/>
  <c r="D55" i="25"/>
  <c r="D61" i="25"/>
  <c r="D16" i="25"/>
  <c r="D32" i="25"/>
  <c r="D69" i="25"/>
  <c r="D77" i="25"/>
  <c r="D26" i="25"/>
  <c r="G95" i="25"/>
  <c r="M95" i="25"/>
  <c r="G97" i="25"/>
  <c r="D93" i="25" l="1"/>
  <c r="I96" i="25"/>
  <c r="J96" i="25" s="1"/>
  <c r="K96" i="25" s="1"/>
  <c r="L96" i="25" s="1"/>
  <c r="M96" i="25" s="1"/>
  <c r="N96" i="25" s="1"/>
  <c r="O96" i="25" s="1"/>
  <c r="P96" i="25" s="1"/>
  <c r="Q96" i="25" s="1"/>
  <c r="R96" i="25" s="1"/>
  <c r="H95" i="25"/>
  <c r="H97" i="25" l="1"/>
  <c r="I97" i="25" l="1"/>
  <c r="J97" i="25" l="1"/>
  <c r="K97" i="25" l="1"/>
  <c r="L97" i="25" l="1"/>
  <c r="M97" i="25" l="1"/>
  <c r="N97" i="25" l="1"/>
  <c r="O97" i="25" l="1"/>
  <c r="P97" i="25" l="1"/>
  <c r="Q97" i="25" l="1"/>
  <c r="R97" i="25"/>
</calcChain>
</file>

<file path=xl/sharedStrings.xml><?xml version="1.0" encoding="utf-8"?>
<sst xmlns="http://schemas.openxmlformats.org/spreadsheetml/2006/main" count="2608" uniqueCount="1002">
  <si>
    <t>Data plan.:</t>
  </si>
  <si>
    <t>Data orç .:</t>
  </si>
  <si>
    <t>Projetos:          vide obs.</t>
  </si>
  <si>
    <t>Divisão</t>
  </si>
  <si>
    <t xml:space="preserve">     Secretário de Obras</t>
  </si>
  <si>
    <t>Item</t>
  </si>
  <si>
    <t>Serviço</t>
  </si>
  <si>
    <t>Un.</t>
  </si>
  <si>
    <t>Quantidade</t>
  </si>
  <si>
    <t>Preço unitário</t>
  </si>
  <si>
    <t>Preço do serviço</t>
  </si>
  <si>
    <t>Preço total do subitem</t>
  </si>
  <si>
    <t>% sobre total</t>
  </si>
  <si>
    <t>Mat./outros</t>
  </si>
  <si>
    <t>Material/outros</t>
  </si>
  <si>
    <t>1.1</t>
  </si>
  <si>
    <t>Valor total do item</t>
  </si>
  <si>
    <t>TOTAL EM R$</t>
  </si>
  <si>
    <t>BDI %</t>
  </si>
  <si>
    <t>CUSTO TOTAL GERAL EM R$</t>
  </si>
  <si>
    <t xml:space="preserve">  __________________________</t>
  </si>
  <si>
    <t>_______________________</t>
  </si>
  <si>
    <t xml:space="preserve">ORÇAMENTO DE CUSTO DE CONSTRUÇÃO </t>
  </si>
  <si>
    <t>1.0</t>
  </si>
  <si>
    <t>Observação:</t>
  </si>
  <si>
    <t>Variação (INCC) %</t>
  </si>
  <si>
    <t>1)  Preços unitários base Agosto/2004 - TCPO. Índice: Julho/04= 294,625, Março/05= 311,733-Variação= 5,807%</t>
  </si>
  <si>
    <t>m</t>
  </si>
  <si>
    <t>Elaborada por: Udo/Adriana</t>
  </si>
  <si>
    <t>3) Os valores correspondentes a aquisição, carga, transporte e descarga dos materiais, custo da mão de obra e de equipamentos, quando não explicitados, estão incluídos nos preços unitários;</t>
  </si>
  <si>
    <t>2.0</t>
  </si>
  <si>
    <t xml:space="preserve">Conferida por: </t>
  </si>
  <si>
    <t>4) *Custo estimado com base no valor de mercado.</t>
  </si>
  <si>
    <t>2.1</t>
  </si>
  <si>
    <t>Obra: Casa Popular - Secretaria de Habitação</t>
  </si>
  <si>
    <t>Local: -</t>
  </si>
  <si>
    <t>LOCAÇÃO DE OBRAS</t>
  </si>
  <si>
    <t>LOCAÇÃO DA OBRA: execução de gabarito </t>
  </si>
  <si>
    <t>m2  </t>
  </si>
  <si>
    <t>INFRA-ESTRUTURA</t>
  </si>
  <si>
    <t>ESCAVAÇÃO MANUAL de vala em solo de 1ª categoria, profundidade até 2 m </t>
  </si>
  <si>
    <t>m3  </t>
  </si>
  <si>
    <t>2.2</t>
  </si>
  <si>
    <t>APILOAMENTO DE pisos e de fundos de valas com maço de 30 kg </t>
  </si>
  <si>
    <t>2.3</t>
  </si>
  <si>
    <t>2.4</t>
  </si>
  <si>
    <t>LASTRO DE CONCRETO magro, incluindo preparo e lançamento, h=5cm</t>
  </si>
  <si>
    <t>2.5</t>
  </si>
  <si>
    <t>CONCRETO estrutural virado em obra , controle "C", consistência para vibração, brita 1 e 2, fck 13,5 MPa , para enchimento do bloco canaleta.</t>
  </si>
  <si>
    <t>2.6</t>
  </si>
  <si>
    <t>Barra de aço CA-50 1/4" (bitola: 6,30 mm / massa linear: 0,245 kg/m) </t>
  </si>
  <si>
    <t>3.0</t>
  </si>
  <si>
    <t>PAREDES E PAINÉIS</t>
  </si>
  <si>
    <t>3.1</t>
  </si>
  <si>
    <t>3.2</t>
  </si>
  <si>
    <t>3.3</t>
  </si>
  <si>
    <t>3.4</t>
  </si>
  <si>
    <t>3.5</t>
  </si>
  <si>
    <t>REBOCO para parede externa, com argamassa de cal hidratada e areia peneirada traço 1:3, e=5 mm </t>
  </si>
  <si>
    <t>CHAPISCO para paredes externas com argamasa de cimento e areia sem peneirar traço 1:3, e=5 mm </t>
  </si>
  <si>
    <t>4.0</t>
  </si>
  <si>
    <t>ESQUADRIAS</t>
  </si>
  <si>
    <t>4.1</t>
  </si>
  <si>
    <t>4.2</t>
  </si>
  <si>
    <t>4.3</t>
  </si>
  <si>
    <t>4.4</t>
  </si>
  <si>
    <t>4.5</t>
  </si>
  <si>
    <t>un  </t>
  </si>
  <si>
    <t>5.0</t>
  </si>
  <si>
    <t>BARRA de aço CA-50 1/4" (bitola: 6,30 mm / massa linear: 0,245 kg/m) , para execução de vergas</t>
  </si>
  <si>
    <t>6.0</t>
  </si>
  <si>
    <t>COBERTURA</t>
  </si>
  <si>
    <t>6.1</t>
  </si>
  <si>
    <t>6.2</t>
  </si>
  <si>
    <t>7.0</t>
  </si>
  <si>
    <t>PISOS</t>
  </si>
  <si>
    <t>7.1</t>
  </si>
  <si>
    <t>7.2</t>
  </si>
  <si>
    <t>8.0</t>
  </si>
  <si>
    <t>INSTALAÇÃO HIDRÁULICA</t>
  </si>
  <si>
    <t>8.1</t>
  </si>
  <si>
    <t>8.2</t>
  </si>
  <si>
    <t>8.3</t>
  </si>
  <si>
    <t>8.4</t>
  </si>
  <si>
    <t>8.5</t>
  </si>
  <si>
    <t>8.6</t>
  </si>
  <si>
    <t>5) Projetos nº.: Fornecido pelo Secretário Municipal de Habitação e trabalho  - Sr. Estêvão Oscar Mognatto</t>
  </si>
  <si>
    <t>8.7</t>
  </si>
  <si>
    <t>8.8</t>
  </si>
  <si>
    <t>8.9</t>
  </si>
  <si>
    <t>9.0</t>
  </si>
  <si>
    <t>INSTALAÇÃO SANITÁRIA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</si>
  <si>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</si>
  <si>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</si>
  <si>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</si>
  <si>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</si>
  <si>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</si>
  <si>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</si>
  <si>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</si>
  <si>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</si>
  <si>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</si>
  <si>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</si>
  <si>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</si>
  <si>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</si>
  <si>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</si>
  <si>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10.0</t>
  </si>
  <si>
    <t>INSTALAÇÃO ELÉTRICA</t>
  </si>
  <si>
    <t>EXECUÇÂO de ramal de entrada, inclusive poste padrão</t>
  </si>
  <si>
    <t>10.1</t>
  </si>
  <si>
    <t>10.2</t>
  </si>
  <si>
    <t>QUADRO de distribuição para três disjuntores</t>
  </si>
  <si>
    <t>11.0</t>
  </si>
  <si>
    <t>ACABAMENTO EXTERNO</t>
  </si>
  <si>
    <t>11.1</t>
  </si>
  <si>
    <t>m²</t>
  </si>
  <si>
    <t>LIMPEZA</t>
  </si>
  <si>
    <t>LIMPEZA permanente e ao final da obra</t>
  </si>
  <si>
    <t>JANELA de abrir de madeira, com duas folhas, dimensão de 1,20x1,00m, inclusive alisares</t>
  </si>
  <si>
    <t>BÁSCULA de madeira de 0,60x0,60m, inclusive alisares</t>
  </si>
  <si>
    <t>PORTA interna de madeira, para receber pintura, colocação e acabamento , de uma folha com batente, guarnição e ferragem, 0,60 x 2,10 m</t>
  </si>
  <si>
    <t>PORTA interna de madeira, para receber pintura, colocação e acabamento , de uma folha com batente, guarnição e ferragem, 0,70 x 2,10 m</t>
  </si>
  <si>
    <t>PORTA externa de madeira mista, almofadada, colocação e acabamento , de uma folha com batente, guarnição e ferragem, 0,90 x 2,10 m </t>
  </si>
  <si>
    <t>5.1</t>
  </si>
  <si>
    <t>LASTRO DE CONCRETO regularizado para contrapiso, incluindo preparo e lançamento, h=5cm</t>
  </si>
  <si>
    <t>PISO CIMENTADO liso com argamassa de cimento e areia sem peneirar traço 1:4, e=1,5 cm </t>
  </si>
  <si>
    <t>RESERVATÓRIO d'água de fibra de vidro cilíndrico, capacidade 500 litros </t>
  </si>
  <si>
    <t>TUBO de PVC soldável, sem conexões Ø 32 mm </t>
  </si>
  <si>
    <t>TUBO de PVC soldável, sem conexões Ø 25 mm </t>
  </si>
  <si>
    <t>TUBO de PVC soldável, sem conexões Ø 20 mm </t>
  </si>
  <si>
    <t>ADAPTADOR soldável longo de PVC marrom com flanges livres para caixa d'água Ø 32 mm x 1" </t>
  </si>
  <si>
    <t>ADAPTADOR soldável longo de PVC marrom com flanges livres para caixa d'água Ø 25 mm x 3/4" </t>
  </si>
  <si>
    <t>JOELHO 90 soldável de PVC marrom com rosca metálica Ø 25 mm x 1/2" </t>
  </si>
  <si>
    <t>JOELHO 90 soldável de PVC marrom Ø 32 mm </t>
  </si>
  <si>
    <t>JOELHO 90 soldável de PVC marrom Ø 25 mm </t>
  </si>
  <si>
    <t>JOELHO 90 soldável de PVC marrom Ø 20 mm </t>
  </si>
  <si>
    <t>LUVA soldável de PVC azul com rosca metálica Ø 25 mm x 1/2" </t>
  </si>
  <si>
    <t>TÊ 90 soldável de PVC marrom Ø 25 mm </t>
  </si>
  <si>
    <t>REGISTRO de esfera em PVC soldável, Ø 32 mm </t>
  </si>
  <si>
    <t>REGISTRO de pressão em PVC soldável, Ø 25 mm </t>
  </si>
  <si>
    <t>BACIA de louça sifonada, com tampa e acessórios, cor branca</t>
  </si>
  <si>
    <t>CAIXA de descarga de sobrepor de plástico, cor branca</t>
  </si>
  <si>
    <t>TUBO de PVC branco para esgoto, sem conexões , ponta bolsa e virola, Ø 100 mm </t>
  </si>
  <si>
    <t>TUBO de PVC branco para esgoto, sem conexões , ponta bolsa e virola, Ø 50 mm </t>
  </si>
  <si>
    <t>TUBO de PVC branco para esgoto, sem conexões , ponta e bolsa soldável, Ø 40 mm </t>
  </si>
  <si>
    <t>JOELHO 45 de PVC branco , ponta e bolsa soldável, Ø 40 mm </t>
  </si>
  <si>
    <t>JOELHO 90 de PVC branco , ponta e bolsa soldável, Ø 40 mm </t>
  </si>
  <si>
    <t>JOELHO 90 de PVC branco , ponta bolsa e virola, Ø 100 mm </t>
  </si>
  <si>
    <t>CAIXA sifonada de PVC rígido , 100 x 100 x 50 mm </t>
  </si>
  <si>
    <t>CAIXA de gordura de polietileno , 50 X 100 mm </t>
  </si>
  <si>
    <t>CAIXA de inspeção de polietileno , Ø 100 mm </t>
  </si>
  <si>
    <t>DISJUNTOR MONOPOLAR termomagnético de 15 A em quadro de distribuição </t>
  </si>
  <si>
    <t>DISJUNTOR MONOPOLAR termomagnético de 32 A em quadro de distribuição </t>
  </si>
  <si>
    <t>INTERRUPTOR , uma tecla simples 10 A - 250 V </t>
  </si>
  <si>
    <t>INTERRUPTOR E TOMADA , uma tecla simples e uma tomada dois pólos universal 10 A - 250 V </t>
  </si>
  <si>
    <t>TOMADA universal dois pólos 10 A - 250 V </t>
  </si>
  <si>
    <t>CAIXA DE LUZ de PVC, dimensões 4 x 2" </t>
  </si>
  <si>
    <t>ELETRODUTO de PVC flexível corrugado Ø 25 mm (3/4") </t>
  </si>
  <si>
    <t>FIO ISOLADO de PVC seção 1,5 mm² - 750 V - 70°C </t>
  </si>
  <si>
    <t>FIO ISOLADO de PVC seção 4 mm² - 750 V - 70°C </t>
  </si>
  <si>
    <t>TINTA ESMALTE em esquadria de madeira com duas demãos, sem massa corrida </t>
  </si>
  <si>
    <t>LÁTEX ACRÍLICO em parede externa com duas demãos, sem massa corrida </t>
  </si>
  <si>
    <t>ALVENARIA de vedação com bloco de concreto, 9 x 19 x 39 cm, espessura da parede 9 cm, juntas de 10 mm com argamassa mista de cimento, cal hidratada e areia sem peneirar traço 1:0,5:8 - tipo 2 - </t>
  </si>
  <si>
    <t>ALVENARIA de vedação com bloco de concreto, 14 x 19 x 39 cm, espessura da parede 14 cm, juntas de 10 mm com argamassa mista de cimento, arenoso e areia sem peneirar traço 1:4:4 </t>
  </si>
  <si>
    <t>CONCRETO estrutural virado em obra , controle "C", consistência para vibração, brita 1 e 2, fck 13,5 MPa , para enchimento do bloco canaleta, para enchimento de bloco ce concreto tipo canaleta, para  execução de vergas sobre portas e janelas, com 20cm execedentes para cada lado.</t>
  </si>
  <si>
    <t>LAVATÓRIO de louça branca, sem coluna, inclusive válvula, sifão, engate e torneira em pvc.</t>
  </si>
  <si>
    <t>PIA de cozinha em mármore sintético 1,20 x 0,50 m, inclusive válvula, sifão, engate e torneira de parede em pvc</t>
  </si>
  <si>
    <t>CHUVEIRO-ducha plástico</t>
  </si>
  <si>
    <t>Bucha de redução soldável 32 x 25 mm*</t>
  </si>
  <si>
    <t>NÌPEL com rosca 1/2"*</t>
  </si>
  <si>
    <t>ADESIVO para tubo de pvc*</t>
  </si>
  <si>
    <t>COBERTURA em peças de madeira de boa qualidade, apoiada sobre terças de 12x5cm  e caibros de 7x3cm, telha cerâmica tipo Francesa e beiral de 55cm.</t>
  </si>
  <si>
    <t>m2</t>
  </si>
  <si>
    <t>LÂMPADA incandescente 60w*</t>
  </si>
  <si>
    <t>LÂMPADA incandescente 40w*</t>
  </si>
  <si>
    <t>BOCAL de lâmpada simples*</t>
  </si>
  <si>
    <t>TORNEIRA da bóia 20 mm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</si>
  <si>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</si>
  <si>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</si>
  <si>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</si>
  <si>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</si>
  <si>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</si>
  <si>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</si>
  <si>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</si>
  <si>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</si>
  <si>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</si>
  <si>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</si>
  <si>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</si>
  <si>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</si>
  <si>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</si>
  <si>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</si>
  <si>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</si>
  <si>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</si>
  <si>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</si>
  <si>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</si>
  <si>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</si>
  <si>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</si>
  <si>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</si>
  <si>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</si>
  <si>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9.14</t>
  </si>
  <si>
    <t>EXECUÇÂO de padrão de entrada d'água*</t>
  </si>
  <si>
    <t>2)  Prazo de execução:  -- dias a contar da data de emissão da Ordem de Serviço;</t>
  </si>
  <si>
    <t>3.6</t>
  </si>
  <si>
    <t>3.7</t>
  </si>
  <si>
    <t>12.0</t>
  </si>
  <si>
    <t>1.2</t>
  </si>
  <si>
    <t>kg</t>
  </si>
  <si>
    <t>10.3</t>
  </si>
  <si>
    <t>10.4</t>
  </si>
  <si>
    <t>12.1</t>
  </si>
  <si>
    <t>Fornecimento, dobragem e colocação em forma, de armadura CA-50 A média, diâmetro de 6.3 a 10.0 mm</t>
  </si>
  <si>
    <t>Base da planilha Iopes dez/2008 BDI = 28%</t>
  </si>
  <si>
    <t>Construção e demolição de andaime externo de madeira para execução de alvenaria em prédios com até 4 pavimentos, madeira aproveitada 6 vezes por m² de alvenaria total</t>
  </si>
  <si>
    <t>Escavação manual em material de 1a. categoria, até 1.50 m de profundidade</t>
  </si>
  <si>
    <t>Aterro para regularização do terreno em areia grossa ou pó de pedra, inclusive adensamento hidráulico e fornecimento do material</t>
  </si>
  <si>
    <t>PORTAS E JANELAS</t>
  </si>
  <si>
    <t>Alvenaria de blocos de concreto estrut. (14x19x39cm) cheios, c/ resist. mín. compr. 15MPa, assentados c/ arg. cimento e areia no traço 1:4, esp. juntas de 10mm e esp. da parede s/ revest. 19cm</t>
  </si>
  <si>
    <t>Torneira de bóia de PVC, diâm. 3/4" (20mm)</t>
  </si>
  <si>
    <t>Ponto de água fria (lavatório, tanque, pia de cozinha, etc...)</t>
  </si>
  <si>
    <t>Ponto com registro de pressão (chuveiro, caixa de descarga, etc...)</t>
  </si>
  <si>
    <t>Ponto para esgoto primário (vaso sanitário)</t>
  </si>
  <si>
    <t>Ponto para esgoto secundário (pia, lavatório, mictório, tanque, bidê, etc...)</t>
  </si>
  <si>
    <t>Ponto para ralo sifonado, inclusive ralo sifonado 100 x 40 mm c/ grelha em pvc</t>
  </si>
  <si>
    <t>un</t>
  </si>
  <si>
    <t xml:space="preserve">Ponto padrão de luz no teto - considerando eletroduto PVC rígido de 3/4" inclusive conexões (4.5m), fio isolado PVC de 2.5mm2 (11.0m) e caixa estampada 4x4" </t>
  </si>
  <si>
    <t>Ponto padrão de tomada para chuveiro elétrico - considerando eletroduto PVC rígido de 3/4" inclusive conexões (9.0m), fio isolado PVC de 6.0mm2 (22.0m) e caixa estampada 4x2"</t>
  </si>
  <si>
    <t>m³</t>
  </si>
  <si>
    <t>Ponto padrão de interruptor de 1 tecla simples - considerando eletroduto PVC rígido de 3/4" inclusive conexões (3.3m), fio isolado PVC de 2.5mm2 (8.6m) e caixa estampada 4x2" (1 und)</t>
  </si>
  <si>
    <t>2.7</t>
  </si>
  <si>
    <t>Porta em compensado esp.35mm com acabamento liso  para pintura inclusive dobradiças, aduelas e alizar, nas dimensões de 0.70 x 2.10 m</t>
  </si>
  <si>
    <t>Porta em compensado esp.35mm com acabamento liso  para pintura inclusive dobradiças, aduelas e alizar, nas dimensões de 0.80 x 2.10 m</t>
  </si>
  <si>
    <t>VIDROS</t>
  </si>
  <si>
    <t>Vidro plano transparente liso, com 4 mm de espessura para janelas e básculas</t>
  </si>
  <si>
    <t>FECHADURAS</t>
  </si>
  <si>
    <t>Sub Total</t>
  </si>
  <si>
    <t>PLANILHA ORÇAMENTARIA</t>
  </si>
  <si>
    <t>A: Comissão Permanente de Licitação - CPL</t>
  </si>
  <si>
    <t>Elaborado por : Arquiteta Andressa Rodrigues</t>
  </si>
  <si>
    <t>codigo</t>
  </si>
  <si>
    <t>referencial</t>
  </si>
  <si>
    <t>iopes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</si>
  <si>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</si>
  <si>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 xml:space="preserve">Laje pré-moldada, sobrecarga 300 Kg/m2, vão de 3.5m a 4.3m, capeamento 4cm, esp. 12cm, Fck = 150 Kg/cm2 </t>
  </si>
  <si>
    <t>Janela de correr para vidro em alumínio anodizado cor natural, linha 25, completa, incl. puxador com tranca, alizar, caixilho e contramarco, exclusive vidro</t>
  </si>
  <si>
    <t>Báscula para vidro em alumínio anodizado cor natural, linha 25, completa, com tranca, caixilho, alizar e contramarco, exclusive vidro</t>
  </si>
  <si>
    <t>sinapi</t>
  </si>
  <si>
    <t>73910/005</t>
  </si>
  <si>
    <t>73910/003</t>
  </si>
  <si>
    <t xml:space="preserve">ESTRUTURA DE MADEIRA, SEGUNDA QUALIDADE, SERRADA, NAO APARELHADA, PARA TELHA CERAMICA
</t>
  </si>
  <si>
    <t xml:space="preserve">PINTURA COM TINTA ESMALTE sintético, inclusive fundo branco nivelador, em esquadrias de madeira a duas demãos </t>
  </si>
  <si>
    <t>Regularização de base p/ revestimento cerâmico, com argamassa de cimento e areia no traço 1:5, espessura 3cm</t>
  </si>
  <si>
    <t>Fornecimento, preparo e aplicação de concreto magro com (preparo manual)  - (5% de perdas), para contra piso e=8cm</t>
  </si>
  <si>
    <t>Apiloamento do fundo de vala com maço de 30 a 60kg</t>
  </si>
  <si>
    <t>Reaterro apiloado de cavas de fundação, em camadas de 20 cm</t>
  </si>
  <si>
    <t>2.8</t>
  </si>
  <si>
    <t>2.9</t>
  </si>
  <si>
    <t>Fornecimento, dobragem e colocação em fôrma, de armadura CA-60 B fina, diâmetro de 4.0 a 7.0mm</t>
  </si>
  <si>
    <t>Verga/contraverga reta de concreto armado 10 x 5 cm, Fck = 15 MPa, inclusive forma, armação e desforma</t>
  </si>
  <si>
    <t>Ponto para caixa sifonada, inclusive caixa sifonada pvc 150x150x50mm com grelha em pvc</t>
  </si>
  <si>
    <t>INSTALAÇÃO HIDRO SANITÁRIO</t>
  </si>
  <si>
    <t>73870/004</t>
  </si>
  <si>
    <t>Data Base : IOPES Julho/2013 , BDI 25%, sinapi agosto/2013 BDI 25%</t>
  </si>
  <si>
    <t>REGISTRO de esfera em bronze, Ø 32 mm , fornecimento e colocação</t>
  </si>
  <si>
    <t>REGISTRO de esfera em bronze, Ø 25 mm , fornecimento e colocação</t>
  </si>
  <si>
    <t>73870/003</t>
  </si>
  <si>
    <t xml:space="preserve">CAIXA DE GORDURA SIMPLES EM CONCRETO PRE-MOLDADO DN 40MM COM TAMPA -fornecimento e execução
</t>
  </si>
  <si>
    <t xml:space="preserve">CAIXA DE INSPEÇÃO EM CONCRETO PRÉ-MOLDADO DN 60MM COM TAMPA H= 60CM
</t>
  </si>
  <si>
    <t>74166/001</t>
  </si>
  <si>
    <t>Tubo PVC rígido para esgoto no diâmetro de 75 mm incluindo escavação e aterro com areia</t>
  </si>
  <si>
    <t>Tubo PVC rígido para esgoto no diâmetro de 100mm incluindo escavação e aterro com areia</t>
  </si>
  <si>
    <t xml:space="preserve">ABRIGO PARA CAVALETE/HIDRÔMETRO PRÉ-MOLDADO DE CONCRETO - FORNECIMENTO E INSTALAÇÃO
</t>
  </si>
  <si>
    <t>73828/001</t>
  </si>
  <si>
    <t xml:space="preserve">KIT CAVALETE PVC COM REGISTRO 3/4" - FORNECIMENTO E INSTALACAO
</t>
  </si>
  <si>
    <t>74218/001</t>
  </si>
  <si>
    <t xml:space="preserve">RESERVATORIO DE FIBROCIMENTO 500L COM ACESSORIOS
</t>
  </si>
  <si>
    <t>79598/001</t>
  </si>
  <si>
    <t>APARELHOS HIDRO SANITARIO</t>
  </si>
  <si>
    <t xml:space="preserve">CHUVEIRO ELETRICO COMUM CORPO PLASTICO TIPO DUCHA, FORNECIMENTO E INSTALACAO
</t>
  </si>
  <si>
    <t>APARELHOS ELETRICOS</t>
  </si>
  <si>
    <t xml:space="preserve">LUMINARIA GLOBO VIDRO LEITOSO/PLAFONIER/BOCAL/LAMPADA 60W
</t>
  </si>
  <si>
    <t>74041/001</t>
  </si>
  <si>
    <t xml:space="preserve">TOMADA DE EMBUTIR 2P+T 20A/250V C/ PLACA - FORNECIMENTO E INSTALACAO
</t>
  </si>
  <si>
    <t xml:space="preserve">DISJUNTOR TERMOMAGNETICO BIPOLAR PADRAO NEMA (AMERICANO) 10 A 50A 240V
</t>
  </si>
  <si>
    <t xml:space="preserve">DISJUNTOR TERMOMAGNETICO MONOPOLAR PADRAO NEMA (AMERICANO) 10 A 30A 240V
</t>
  </si>
  <si>
    <t>74130/001</t>
  </si>
  <si>
    <t>74130/003</t>
  </si>
  <si>
    <t>Quadro de distribuição de energia, de embutir, com 12 divisões modulares com barramento</t>
  </si>
  <si>
    <t xml:space="preserve">ENTRADA DE ENERGIA ELÉTRICA AÉREA BIFASICO 50A COM POSTE DE CONCRETO INCLUSIVE CABEAMENTO, CAIXA DE PROTEÇÃO PARA MEDIDOR E ATERRAMENTO.
</t>
  </si>
  <si>
    <t xml:space="preserve">INTERRUPTOR SIMPLES COM 1 TOMADA UNIVERSAL CONJUGADOS COM PLACA - FORNECIMENTO E INSTALACAO
</t>
  </si>
  <si>
    <t xml:space="preserve">INTERRUPTOR SIMPLES DE EMBUTIR 10A/250V 1 TECLA, SEM PLACA - FORNECIMENTO E INSTALACAO
</t>
  </si>
  <si>
    <t>Ponto padrão de tomada 2 pólos mais terra - considerando eletroduto PVC rígido de 3/4" inclusive conexões (5.0m), fio isolado PVC de 2.5mm2 (16.5m) e caixa estampada 4x2" (1 und)</t>
  </si>
  <si>
    <t>Ponto padrão de interruptor de 1 tecla simples e 1 tomada dois pólos mais terra 10A/250V - considerando eletroduto PVC rígido de 3/4" inclusive conexões (4.5m), fio isolado PVC de 2.5mm2 (19.4m) e caixa estampada 4x2" (1 und)</t>
  </si>
  <si>
    <t xml:space="preserve">CABO DE COBRE ISOLADO PVC 450/750V 10MM2 RESISTENTE A CHAMA - FORNECIMENTO E INSTALACAO
</t>
  </si>
  <si>
    <t>73860/011</t>
  </si>
  <si>
    <t xml:space="preserve">ELETRODUTO DE PVC RIGIDO ROSCAVEL DN 50MM (2"), INCL CONEXOES, FORNECIMENTO E INSTALACAO
</t>
  </si>
  <si>
    <t>4.6</t>
  </si>
  <si>
    <t>4.7</t>
  </si>
  <si>
    <t>4.8</t>
  </si>
  <si>
    <t>4.9</t>
  </si>
  <si>
    <t>4.10</t>
  </si>
  <si>
    <t>4.11</t>
  </si>
  <si>
    <t>4.12</t>
  </si>
  <si>
    <t>4.13</t>
  </si>
  <si>
    <t>6.3</t>
  </si>
  <si>
    <t>6.4</t>
  </si>
  <si>
    <t>6.5</t>
  </si>
  <si>
    <t>10.5</t>
  </si>
  <si>
    <t>10.6</t>
  </si>
  <si>
    <t>10.7</t>
  </si>
  <si>
    <t>10.8</t>
  </si>
  <si>
    <t>11.2</t>
  </si>
  <si>
    <t>PREFEITURA MUNICIPAL DE IBIRAÇU</t>
  </si>
  <si>
    <t>CRONOGRAMA FISICO FINANCEIRO</t>
  </si>
  <si>
    <t>ITEM</t>
  </si>
  <si>
    <t>SERVIÇO</t>
  </si>
  <si>
    <t>VALORES DO ITEM</t>
  </si>
  <si>
    <t>PRAZO EM DIAS</t>
  </si>
  <si>
    <t>R$</t>
  </si>
  <si>
    <t>%</t>
  </si>
  <si>
    <t>30 dias</t>
  </si>
  <si>
    <t>60 dias</t>
  </si>
  <si>
    <t>90 dias</t>
  </si>
  <si>
    <t>120 dias</t>
  </si>
  <si>
    <t>TOTAL GERAL</t>
  </si>
  <si>
    <t>VALOR DO SERVIÇO EXECUTADO NO MÊS</t>
  </si>
  <si>
    <t>ACUMULADO R$</t>
  </si>
  <si>
    <t>PORCENTAGEM</t>
  </si>
  <si>
    <t>ACUMULADA</t>
  </si>
  <si>
    <t>Data : nov./2013</t>
  </si>
  <si>
    <t>Local: DIVERSOS BAIRROS</t>
  </si>
  <si>
    <t>Prazo: 90 DIAS</t>
  </si>
  <si>
    <t>Serviço:CONSTRUÇÃO DE 03 UNIDADE HABITACIONAL</t>
  </si>
  <si>
    <t>Fôrma de tábua de madeira de 2.5x30.0cm, levando-se em conta utilização 3 vezes (incluindo o material, corte, montagem, escoramento e desforma)</t>
  </si>
  <si>
    <t>2.10</t>
  </si>
  <si>
    <t>Rodapé de cerâmica PEI-3, assentado com argamassa de cimento cola h = 7.0 cm, inclusive rejuntamento</t>
  </si>
  <si>
    <t xml:space="preserve">Fornecimento, preparo e aplicação de concreto Fck=20 MPa (brita 1 e 2) - (5% de perdas já incluído no custo) , </t>
  </si>
  <si>
    <t>Data Base : IOPES 05/2015 , BDI 25%, sinapi 05/2015 BDI 25%</t>
  </si>
  <si>
    <t xml:space="preserve">Fornecimento e assentamento de fechadura tipo alavanca para portas internas e externas, completa </t>
  </si>
  <si>
    <t xml:space="preserve">Fornecimento e assentamento de fechadura tipo alavanca para banheiro completa </t>
  </si>
  <si>
    <t>Fornecimento, preparo e aplicação de concreto magro (preparo manual) - (5% de perdas), espessura = 5cm</t>
  </si>
  <si>
    <t>PISO CIMENTADO TRACO 1:4 (CIMENTO E AREIA), COM ACABAMENTO RUSTICO ESPESSURA 3CM, PREPARO MANUAL</t>
  </si>
  <si>
    <t>73923/002</t>
  </si>
  <si>
    <t>MASSA ÚNICA, PARA RECEBIMENTO DE PINTURA, EM ARGAMASSA TRAÇO 1:2:8, PREPARO MECÂNICO COM BETONEIRA 400L, APLICADA MANUALMENTE EM FACES INTERNAS DE PAREDES DE AMBIENTES COM ÁREA MAIOR QUE 10M2, ESPESSURA DE 20MM</t>
  </si>
  <si>
    <t>EMBOÇO, PARA RECEBIMENTO DE CERÂMICA, EM ARGAMASSA TRAÇO 1:2:8, PREPARO MANUAL, APLICADO MANUALMENTE EM FACES INTERNAS DE PAREDES DE AMBIENTES COM ÁREA ENTRE 5M2 E 10M2, ESPESSURA DE 20MM,</t>
  </si>
  <si>
    <t>EMBOÇO OU MASSA ÚNICA EM ARGAMASSA TRAÇO 1:2:8, PREPARO MECÂNICO COM BETONEIRA 400 L, APLICADA MANUALMENTE EM PANOS DE FACHADA COM PRESENÇADE VÃOS, ESPESSURA DE 25 MM</t>
  </si>
  <si>
    <t>MASSA ÚNICA, PARA RECEBIMENTO DE PINTURA, EM ARGAMASSA TRAÇO 1:2:8, PREPARO MANUAL, APLICADA MANUALMENTE EM TETO, ESPESSURA DE 20MM</t>
  </si>
  <si>
    <t>Chapisco de argamassa de cimento e areia média ou grossa lavada, no traço 1:3, espessura 5 mm(paredes)</t>
  </si>
  <si>
    <t>Chapisco com argamassa de cimento e areia média ou grossa lavada no traço 1:3, espessura 5 mm(teto)</t>
  </si>
  <si>
    <t>3.8</t>
  </si>
  <si>
    <t>3.9</t>
  </si>
  <si>
    <t>3.10</t>
  </si>
  <si>
    <t>REVESTIMENTO CERÂMICO PARA PISO COM PLACAS TIPO GRÊS DE DIMENSÕES 35X35 CM APLICADA EM AMBIENTES DE ÁREA ENTRE 5 M2 E 10 M2</t>
  </si>
  <si>
    <t>REVESTIMENTO CERÂMICO PARA PAREDES INTERNAS COM PLACAS TIPO GRÊS OU SEMI-GRÊS DE DIMENSÕES 20X20 CM APLICADAS EM AMBIENTES DE ÁREA MENOR QUE5 M² A MEIA ALTURA DAS PAREDES</t>
  </si>
  <si>
    <t>Peitoril de granito cinza polido, 15 cm, esp. 3cm</t>
  </si>
  <si>
    <t>COBERTURA EM TELHA CERAMICA TIPO COLONIAL, COM ARGAMASSA TRACO 1:3</t>
  </si>
  <si>
    <t>73938/001</t>
  </si>
  <si>
    <t>6.6</t>
  </si>
  <si>
    <t>6.7</t>
  </si>
  <si>
    <t>6.8</t>
  </si>
  <si>
    <t>6.9</t>
  </si>
  <si>
    <t>6.10</t>
  </si>
  <si>
    <t>74051/002</t>
  </si>
  <si>
    <t xml:space="preserve">VASO SANITÁRIO SIFONADO COM CAIXA ACOPLADA LOUÇA BRANCA FORNECIMENTO E INSTALAÇÃO PADRÃO MEDIO
</t>
  </si>
  <si>
    <t>LAVATÓRIO LOUÇA BRANCA SUSPENSO, 29,5 X 39CM OU EQUIVALENTE, PADRÃO POPULAR, INCLUSO SIFÃO TIPO GARRAFA EM PVC, VÁLVULA E ENGATE FLEXÍVEL 30 CM EM PLÁSTICO E TORNEIRA CROMADA DE MESA, PADRÃO POPULAR - FORNECIMENTO E INSTALAÇÃO</t>
  </si>
  <si>
    <t>BANCADA DE MÁRMORE SINTÉTICO 120 X 60CM, COM CUBA INTEGRADA, INCLUSO SIFÃO TIPO GARRAFA EM PVC, VÁLVULA EM PLÁSTICO CROMADO TIPO AMERICANA E TORNEIRA CROMADA LONGA, DE PAREDE, PADRÃO POPULAR - FORNECIMENTO E INSTALAÇÃO</t>
  </si>
  <si>
    <t>TANQUE DE MÁRMORE SINTÉTICO SUSPENSO, 22L OU EQUIVALENTE - FORNECIMENTO E INSTALAÇÃO</t>
  </si>
  <si>
    <t>VÁLVULA EM METAL CROMADO 1.1/2" X 1.1/2" PARA TANQUE OU LAVATÓRIO,  FORNECIMENTO E INSTALACAO</t>
  </si>
  <si>
    <t>SIFÃO DO TIPO GARRAFA EM PVC 1.1/4" - FORNECIMENTO E INSTALAÇÃO</t>
  </si>
  <si>
    <t>TORNEIRA CROMADA 1/2" OU 3/4" PARA TANQUE, PADRÃO POPULAR TO E INSTALAÇÃO</t>
  </si>
  <si>
    <t>Pintura com tinta acrílica, marcas de referência Suvinil, Coral ou Metalatex, inclusive selador acrílico, em
paredes e forros, a três demãos</t>
  </si>
  <si>
    <t xml:space="preserve"> TOTAL  EM R$</t>
  </si>
  <si>
    <t>Reservatório de fibra de vidro 310l, inclusive peça de madeira 6 x 16 cm p/ apoio, exclusive flange e torneira de bóia</t>
  </si>
  <si>
    <t>5.2</t>
  </si>
  <si>
    <t>Local: Guatemala - Ibiraçu/ES</t>
  </si>
  <si>
    <t>Obra: Construção de 02(duas)) unidades habitacionais              -                              DATA: 13/07/2015</t>
  </si>
  <si>
    <t>TOTAL DUAS UNIDADES</t>
  </si>
  <si>
    <t>Prazo: 120 DIAS</t>
  </si>
  <si>
    <t xml:space="preserve">ACABAMENTO </t>
  </si>
  <si>
    <t>Obra: Construção de 04(quatro) unidades habitacionais                  -                              DATA: 17/11/2015</t>
  </si>
  <si>
    <t>Local: Localidade Interior do municipio, Bairro Boa Vista e Comunidade de Guatemala - Ibiraçu/ES</t>
  </si>
  <si>
    <t>SINAPI</t>
  </si>
  <si>
    <t>1.3</t>
  </si>
  <si>
    <t>Emboço de argamassa de cimento, cal hidratada CH1 e areia média ou grossa lavada no traço 1:0.5:6, espessura 20 mm</t>
  </si>
  <si>
    <t>Fornecimento, preparo e aplicação de concreto Fck=20 MPa (brita 1 e 2) - (5% de perdas já incluído no custo)</t>
  </si>
  <si>
    <t>Aterro manual para regularização do terreno em argila, inclusive adensamento manual e fornecimento do material (máximo de 100m3</t>
  </si>
  <si>
    <t>Fornecimento, preparo e aplicação de concreto magro com consumo mínimo de cimento de 250 kg/m3 (brita 1 e 2) - (5% de perdas já incluído no custo)</t>
  </si>
  <si>
    <t>Fôrma de tábua de madeira de 2.5 x 30.0 cm para fundações, levando-se em conta a utilização 5 vezes (incluido o material, corte, montagem, escoramento e desforma)</t>
  </si>
  <si>
    <t>Fornecimento, dobragem e colocação em fôrma, de armadura CA-50 A média, diâmetro de 6.3 a 10.0 mm</t>
  </si>
  <si>
    <t>Locação de obra com gabarito de madeira</t>
  </si>
  <si>
    <t>Barracão para depósito de cimento área de 10.90m2, de chapa de compensado 12mm e pontaletes 8x8cm, piso cimentado e cobertura de telhas de fibrocimento de 6mm, inclusive ponto de luz, conf. projeto (2 utilizações)</t>
  </si>
  <si>
    <t>Lastro de concreto não estrutural, espessura de 6 cm</t>
  </si>
  <si>
    <t>Data Base : IOPES 9/2015 , BDI 24%, sinapi 9/2015 BDI 24%</t>
  </si>
  <si>
    <t>Data : 08/02/2016</t>
  </si>
  <si>
    <t>Local: DIVERSOS</t>
  </si>
  <si>
    <t>Serviço:CONSTRUÇÃO DE 02 UNIDADES HABITACIONAIS</t>
  </si>
  <si>
    <t>Código</t>
  </si>
  <si>
    <t>010501</t>
  </si>
  <si>
    <t>020803</t>
  </si>
  <si>
    <t>030101</t>
  </si>
  <si>
    <t>030201</t>
  </si>
  <si>
    <t>030208</t>
  </si>
  <si>
    <t>040231</t>
  </si>
  <si>
    <t>040235</t>
  </si>
  <si>
    <t>040206</t>
  </si>
  <si>
    <t>040246</t>
  </si>
  <si>
    <t>040243</t>
  </si>
  <si>
    <t>110101</t>
  </si>
  <si>
    <t>040602</t>
  </si>
  <si>
    <t>071702</t>
  </si>
  <si>
    <t>91287</t>
  </si>
  <si>
    <t>080102</t>
  </si>
  <si>
    <t>und</t>
  </si>
  <si>
    <t>Soleira de granito esp. 2 cm e largura de 15 cm</t>
  </si>
  <si>
    <t>Serviços</t>
  </si>
  <si>
    <t>BDI:</t>
  </si>
  <si>
    <t>020305</t>
  </si>
  <si>
    <t>100660</t>
  </si>
  <si>
    <t>Luminária tipo globo de plástico 9x4", inclusive plafonier</t>
  </si>
  <si>
    <t>Interruptor de uma tecla simples 10A/250V e uma tomada 3 polos 10A/250V, padrão brasileiro, NBR 14136, linha branca, com placa 4x2"</t>
  </si>
  <si>
    <t>Interruptor de uma tecla simples 10A/250V, com placa 4x2"</t>
  </si>
  <si>
    <t>Tomada padrão brasileiro linha branca, NBR 14136 2 polos + terra 10A/250V, com placa 4x2"</t>
  </si>
  <si>
    <t>Chapisco com argamassa de cimento e areia média ou grossa lavada no traço 1:3, espessura 5 mm (teto)</t>
  </si>
  <si>
    <t>Limpeza geral da obra (edificação)</t>
  </si>
  <si>
    <t>Alvenaria de blocos de concreto estrut. (14x19x39cm) cheios, c/ resist. mín. compr. 15MPa, assentados c/ arg. de cimento e areia no traço 1:4, esp. juntas 10mm e esp. da parede s/ revest. 14cm</t>
  </si>
  <si>
    <t>COMPOSIÇÃO DE PREÇO UNITÁRIO (COMP-01)</t>
  </si>
  <si>
    <t>TABELA</t>
  </si>
  <si>
    <t>CÓDIGO</t>
  </si>
  <si>
    <t>DESCRIÇÃO</t>
  </si>
  <si>
    <t>UNIDADE</t>
  </si>
  <si>
    <t>M</t>
  </si>
  <si>
    <t>Insumo</t>
  </si>
  <si>
    <t>Unid.</t>
  </si>
  <si>
    <t>Coefic.</t>
  </si>
  <si>
    <t>C. Prod.</t>
  </si>
  <si>
    <t>Pr. Prod.</t>
  </si>
  <si>
    <t>Pr. Impr.</t>
  </si>
  <si>
    <t>Pr. Unit.</t>
  </si>
  <si>
    <t>Sub-Total</t>
  </si>
  <si>
    <t>Mão-de-Obra</t>
  </si>
  <si>
    <t>H</t>
  </si>
  <si>
    <t>Materiais</t>
  </si>
  <si>
    <t>KG</t>
  </si>
  <si>
    <t>M³</t>
  </si>
  <si>
    <t>RESUMO :</t>
  </si>
  <si>
    <t>Discriminação</t>
  </si>
  <si>
    <t>Taxa (%)</t>
  </si>
  <si>
    <t>Valores</t>
  </si>
  <si>
    <t>Mão-de-Obra (A)</t>
  </si>
  <si>
    <t>Materias (B)</t>
  </si>
  <si>
    <t>Equipamentos (C)</t>
  </si>
  <si>
    <t>Produção da Equipe (D)</t>
  </si>
  <si>
    <t>Custo Horário Total [(A)+(C)]</t>
  </si>
  <si>
    <t>Custo Unitário da Execução [(A)+(C)/(D)]=(E)</t>
  </si>
  <si>
    <t>Observações:</t>
  </si>
  <si>
    <t>M²</t>
  </si>
  <si>
    <t>UND</t>
  </si>
  <si>
    <t>PEDREIRO</t>
  </si>
  <si>
    <t>SERVENTE</t>
  </si>
  <si>
    <t>CANALETA CONCRETO 9 X 19 X 19 CM (CLASSE C - NBR 6136)</t>
  </si>
  <si>
    <t>87294 SINAPI</t>
  </si>
  <si>
    <t>658 SINAPI INSUMO</t>
  </si>
  <si>
    <t>CORTE E DOBRA DE AÇO CA-50, DIÂMETRO DE 8,0 MM, UTILIZADO EM ESTRUTURAS DIVERSAS, EXCETO LAJES. AF_12/2015</t>
  </si>
  <si>
    <t>92793 SINAPI</t>
  </si>
  <si>
    <t>Serviços (F)</t>
  </si>
  <si>
    <t>Custo Direto Total [(B)+(E)+(F)]</t>
  </si>
  <si>
    <t>Custo Unitário (sem BDI)</t>
  </si>
  <si>
    <t>Alvenaria de blocos de concreto 9x19x39cm, c/ resist. mínimo a compres. 2.5 MPa, assent. c/ arg. De cimento, cal hidratada CH1 e areia no traço 1:0.5:8 esp. das juntas 10mm e esp. das paredes, s/ rev. 9cm</t>
  </si>
  <si>
    <t>050601</t>
  </si>
  <si>
    <t>CANALETA CONCRETO ESTRUTURAL 14 X 19 X 39 CM, FBK 14 MPA (NBR 6136)</t>
  </si>
  <si>
    <t>38600 SINAPI INSUMO</t>
  </si>
  <si>
    <t>02</t>
  </si>
  <si>
    <t>COMPOSIÇÃO DE PREÇO UNITÁRIO (COMP-02)</t>
  </si>
  <si>
    <t>01</t>
  </si>
  <si>
    <t>Adaptador de PVC soldável com flanges livres para caixa d'água, diâmetro 25mm (3/4")</t>
  </si>
  <si>
    <t>Registro de gaveta bruto diam. 25mm (1")</t>
  </si>
  <si>
    <t>Registro de gaveta com canopla cromada diam. 25mm (1"), marcas de referência Fabrimar, Deca ou Docol</t>
  </si>
  <si>
    <t>Adaptador de PVC soldável para registro, diâmetro 32mm x 1"</t>
  </si>
  <si>
    <t>Registro de gaveta bruto diam. 32mm (11/4")</t>
  </si>
  <si>
    <t>SERVIÇOS PRELIMINARES</t>
  </si>
  <si>
    <t>CALÇADA</t>
  </si>
  <si>
    <t>12.2</t>
  </si>
  <si>
    <t>12.3</t>
  </si>
  <si>
    <t>12.4</t>
  </si>
  <si>
    <t>12.5</t>
  </si>
  <si>
    <t>98682</t>
  </si>
  <si>
    <t>98557</t>
  </si>
  <si>
    <t>Placa de obra nas dimensões de 2.0 x 4.0 m, padrão IOPES</t>
  </si>
  <si>
    <t>SERVIÇOS COMUNS À TODAS AS UNIDADES HABITACIONAIS</t>
  </si>
  <si>
    <t>13.0</t>
  </si>
  <si>
    <t>13.1</t>
  </si>
  <si>
    <t>94201</t>
  </si>
  <si>
    <t>94221</t>
  </si>
  <si>
    <t>Rede de água, com padrão de entrada d'água diâm. 3/4", conf. espec. CESAN, incl. tubos e conexões para alimentação, distribuição, extravasor e limpeza, cons. o padrão a 25m, conf. projeto (2 utilizações)</t>
  </si>
  <si>
    <t>020812</t>
  </si>
  <si>
    <t>Mureta de medição utilizando arg. cimento, cal e areia, dimensões 1100x2000x200mm, com pilares e cintas, revestido com chapisco e reboco, inclusive pintura emassamento e pintura acrílica a três demãos, exclusive cobertura</t>
  </si>
  <si>
    <t>Ponto de antena de TV - considerando eletroduto PVC rígido de 3/4" inclusive conexões (3.0m), cabo coaxial 67 Ohms (4.5m) e caixa estampada 4x2" (1 und)</t>
  </si>
  <si>
    <t>1.4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</si>
  <si>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</si>
  <si>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020713</t>
  </si>
  <si>
    <t>87250</t>
  </si>
  <si>
    <t>Mini-Disjuntor bipolar 50 A, curva C - 5KA 220/127VCA (NBR IEC 60947-2), Ref. Siemens, GE, Schneider ou equivalente</t>
  </si>
  <si>
    <t>101616</t>
  </si>
  <si>
    <t>91011</t>
  </si>
  <si>
    <t>91010</t>
  </si>
  <si>
    <t>87529</t>
  </si>
  <si>
    <t>90406</t>
  </si>
  <si>
    <t>RV 09.05.0350 (A)</t>
  </si>
  <si>
    <t>93395</t>
  </si>
  <si>
    <t>ES 14.10.0300 (/)</t>
  </si>
  <si>
    <t>Janela de correr de aluminio anodizado, em perfis serie 28, com 2 folhas de correr. Fornecimento e instalacao.(desonerado)</t>
  </si>
  <si>
    <t>87879</t>
  </si>
  <si>
    <t>1.5</t>
  </si>
  <si>
    <t>1.6</t>
  </si>
  <si>
    <t>1.7</t>
  </si>
  <si>
    <t>020804</t>
  </si>
  <si>
    <t>Refeitório com paredes de chapa de compens. 12mm e pontaletes 8x8cm, piso ciment. e cobert. de telhas fibroc. 6mm, incl. ponto de luz e cx. de inspeção (cons. 1.21m2/func./turno), conf. projeto (2 utilização)</t>
  </si>
  <si>
    <t>020805</t>
  </si>
  <si>
    <t>Unidade de sanitário e vestiário para até 20 func. área 18.15m2, paredes de chapa compens. 12mm e pontalete 8x8cm, piso cimentado, cobert. telha fibroc. 6mm, incl. inst. de luz e cx. de inspeção, conf. Projeto (2 utilizações)</t>
  </si>
  <si>
    <t>020714</t>
  </si>
  <si>
    <t>Rede de esgoto, contendo fossa e filtro, inclusive tubos e conexões de ligação entre caixas, considerando distância de 25m, conforme projeto (1 utilização)</t>
  </si>
  <si>
    <t>Revestimento interno ou externo, de 1 vez, com argamassa de cimento, saibro macio e areia fina no traco 1:2:2, com 3cm de espessura. (desonerado)</t>
  </si>
  <si>
    <t>090101</t>
  </si>
  <si>
    <t>Estrutura de madeira de lei tipo Paraju, peroba mica, angelim pedra ou equivalente para telhado de telha cerâmica tipo capa e canal, com pontaletes, terças, caibros e ripas, inclusive tratamento com cupinicida, exclusive telhas</t>
  </si>
  <si>
    <t>Laje pré-fabricada treliçada, sobrecarga 300 Kg/m2, vão de 3.5m a 4.3m, capeamento 4cm, esp. 12cm, Fck = 150 Kg/cm2</t>
  </si>
  <si>
    <t>Quadro de distribuição de energia em PVC, de embutir, com 12 divisões modulares com barramento</t>
  </si>
  <si>
    <t>Ponto padrão de interruptor de 2 teclas simples - considerando eletroduto PVC rígido de 3/4" inclusive conexões (3.3m), fio isolado PVC de 2.5mm2 (17.2m) e caixa PVC 4x2" (1 und)</t>
  </si>
  <si>
    <t>SERVIÇOS PARA A CONSTRUÇÃO DE 01 UNIDADE HABITACIONAL COM ACESSIBILIDADE</t>
  </si>
  <si>
    <t>14.0</t>
  </si>
  <si>
    <t>14.1</t>
  </si>
  <si>
    <t>15.0</t>
  </si>
  <si>
    <t>15.1</t>
  </si>
  <si>
    <t>16.0</t>
  </si>
  <si>
    <t>16.1</t>
  </si>
  <si>
    <t>16.2</t>
  </si>
  <si>
    <t>16.3</t>
  </si>
  <si>
    <t>16.4</t>
  </si>
  <si>
    <t>16.5</t>
  </si>
  <si>
    <t>16.6</t>
  </si>
  <si>
    <t>16.7</t>
  </si>
  <si>
    <t>16.8</t>
  </si>
  <si>
    <t>17.0</t>
  </si>
  <si>
    <t>17.1</t>
  </si>
  <si>
    <t>17.2</t>
  </si>
  <si>
    <t>18.0</t>
  </si>
  <si>
    <t>18.1</t>
  </si>
  <si>
    <t>18.2</t>
  </si>
  <si>
    <t>18.3</t>
  </si>
  <si>
    <t>19.0</t>
  </si>
  <si>
    <t>19.1</t>
  </si>
  <si>
    <t>20.0</t>
  </si>
  <si>
    <t>20.1</t>
  </si>
  <si>
    <t>21.0</t>
  </si>
  <si>
    <t>21.1</t>
  </si>
  <si>
    <t>21.2</t>
  </si>
  <si>
    <t>22.0</t>
  </si>
  <si>
    <t>22.1</t>
  </si>
  <si>
    <t>22.2</t>
  </si>
  <si>
    <t>22.3</t>
  </si>
  <si>
    <t>23.0</t>
  </si>
  <si>
    <t>23.1</t>
  </si>
  <si>
    <t>24.0</t>
  </si>
  <si>
    <t>24.1</t>
  </si>
  <si>
    <t>24.2</t>
  </si>
  <si>
    <t>25.0</t>
  </si>
  <si>
    <t>25.1</t>
  </si>
  <si>
    <t>25.2</t>
  </si>
  <si>
    <t>25.3</t>
  </si>
  <si>
    <t>25.4</t>
  </si>
  <si>
    <t>25.5</t>
  </si>
  <si>
    <t>26.0</t>
  </si>
  <si>
    <t>26.1</t>
  </si>
  <si>
    <t>90852</t>
  </si>
  <si>
    <t>100874</t>
  </si>
  <si>
    <t>INSTALAÇÃO DO CANTEIRO DE OBRAS</t>
  </si>
  <si>
    <t>13.2</t>
  </si>
  <si>
    <t>13.3</t>
  </si>
  <si>
    <t>13.4</t>
  </si>
  <si>
    <t>13.5</t>
  </si>
  <si>
    <t>13.6</t>
  </si>
  <si>
    <t>13.7</t>
  </si>
  <si>
    <t>18.4</t>
  </si>
  <si>
    <t>18.5</t>
  </si>
  <si>
    <t>18.6</t>
  </si>
  <si>
    <t>18.7</t>
  </si>
  <si>
    <t>26.2</t>
  </si>
  <si>
    <t>26.3</t>
  </si>
  <si>
    <t>27.0</t>
  </si>
  <si>
    <t>27.1</t>
  </si>
  <si>
    <t>SERVIÇOS PARA A CONSTRUÇÃO DE 01 UNIDADE HABITACIONAL SIMPLES</t>
  </si>
  <si>
    <t>Padrão de entrada de energia elétrica, monofásico, entrada aérea, a 2 fios, carga instalada em muro de 3500 até 9000W - 220/127V</t>
  </si>
  <si>
    <t>SCO</t>
  </si>
  <si>
    <t>COMPOSIÇÃO 01</t>
  </si>
  <si>
    <t>COMPOSIÇÃO 02</t>
  </si>
  <si>
    <t>Fonte</t>
  </si>
  <si>
    <t>Quant.</t>
  </si>
  <si>
    <t>Preço Unitário sem BDI</t>
  </si>
  <si>
    <t>Preço Unitário com BDI</t>
  </si>
  <si>
    <t>Preço Total</t>
  </si>
  <si>
    <t xml:space="preserve">ORÇAMENTO DE CUSTO </t>
  </si>
  <si>
    <t>Data base:</t>
  </si>
  <si>
    <t>Prazo de Execução:</t>
  </si>
  <si>
    <t>Valor total do item 3.0</t>
  </si>
  <si>
    <t>Valor total do item 4.0</t>
  </si>
  <si>
    <t>VIDROS E ESPELHOS</t>
  </si>
  <si>
    <t>Valor total do item 5.0</t>
  </si>
  <si>
    <t>Valor total do item 6.0</t>
  </si>
  <si>
    <t>Valor total do item 7.0</t>
  </si>
  <si>
    <t>Valor total do item 8.0</t>
  </si>
  <si>
    <t>12.6</t>
  </si>
  <si>
    <t>12.7</t>
  </si>
  <si>
    <t>Valor total do item 9.0</t>
  </si>
  <si>
    <t>Valor total do item 10.0</t>
  </si>
  <si>
    <t>Valor total do item 11.0</t>
  </si>
  <si>
    <t>Valor total do item 12.0</t>
  </si>
  <si>
    <t>Valor total do item 13.0</t>
  </si>
  <si>
    <t>14.2</t>
  </si>
  <si>
    <t>14.3</t>
  </si>
  <si>
    <t>14.4</t>
  </si>
  <si>
    <t>14.5</t>
  </si>
  <si>
    <t>14.6</t>
  </si>
  <si>
    <t>14.7</t>
  </si>
  <si>
    <t>Valor total do item 14.0</t>
  </si>
  <si>
    <t>Valor total do item 15.0</t>
  </si>
  <si>
    <t>Valor total do item 20.0</t>
  </si>
  <si>
    <t>Valor total do item 16.0</t>
  </si>
  <si>
    <t>Valor total do item 17.0</t>
  </si>
  <si>
    <t>Valor total do item 18.0</t>
  </si>
  <si>
    <t>Valor total do item 19.0</t>
  </si>
  <si>
    <t>Valor total do item 21.0</t>
  </si>
  <si>
    <t>Valor total do item 22.0</t>
  </si>
  <si>
    <t>Valor total do item 23.0</t>
  </si>
  <si>
    <t>Valor total do item 24.0</t>
  </si>
  <si>
    <t>Valor total do item 25.0</t>
  </si>
  <si>
    <t>Valor total do item 26.0</t>
  </si>
  <si>
    <t>Valor total do item 27.0</t>
  </si>
  <si>
    <t>28.0</t>
  </si>
  <si>
    <t>28.1</t>
  </si>
  <si>
    <t>Valor total do item 28.0</t>
  </si>
  <si>
    <t>29.0</t>
  </si>
  <si>
    <t>29.1</t>
  </si>
  <si>
    <t xml:space="preserve">TOTAL GERAL HABITAÇÃO SIMPLES </t>
  </si>
  <si>
    <t>TOTAL GERAL HABITAÇÃO COM ACESSIBILIDADE</t>
  </si>
  <si>
    <t>Valor total do item 2.0</t>
  </si>
  <si>
    <t>Valor total do item 1.0</t>
  </si>
  <si>
    <t>Valor total do item 29.0</t>
  </si>
  <si>
    <t>DER/ES -  Edificações</t>
  </si>
  <si>
    <t>MOVIMENTO DE TERRA</t>
  </si>
  <si>
    <t>ESCAVAÇÕES</t>
  </si>
  <si>
    <t>3.1.1</t>
  </si>
  <si>
    <t>3.1.2</t>
  </si>
  <si>
    <t>REATERRO E COMPACTAÇÃO</t>
  </si>
  <si>
    <t>Preparo de fundo de vala com largura menor que 1,5 m (acerto do solo natural).</t>
  </si>
  <si>
    <t>Impermeabilização de superfície com emulsão asfáltica, 2 demãos</t>
  </si>
  <si>
    <t>ESTRUTURAS</t>
  </si>
  <si>
    <t>3.2.1</t>
  </si>
  <si>
    <t>4.1.1</t>
  </si>
  <si>
    <t>4.1.2</t>
  </si>
  <si>
    <t>4.1.3</t>
  </si>
  <si>
    <t>4.1.4</t>
  </si>
  <si>
    <t>4.1.5</t>
  </si>
  <si>
    <t>4.1.6</t>
  </si>
  <si>
    <t>4.1.7</t>
  </si>
  <si>
    <t>INFRA-ESTRUTURA (FUNDAÇÃO)</t>
  </si>
  <si>
    <t>COMPOSIÇÃO</t>
  </si>
  <si>
    <t>SUPER-ESTRUTURA</t>
  </si>
  <si>
    <t>4.2.1</t>
  </si>
  <si>
    <t>LAJES PRÉ-MOLDADAS</t>
  </si>
  <si>
    <t>4.3.1</t>
  </si>
  <si>
    <t>ALVENARIA DE VEDAÇÃO EMPREGANDO ARGAMASSA DE CIMENTO, CAL E AREIA</t>
  </si>
  <si>
    <t>5.1.1</t>
  </si>
  <si>
    <t>TETOS E FORROS</t>
  </si>
  <si>
    <t>Massa única, para recebimento de pintura, em argamassa traço 1:2:8, preparo mecânico com betoneira 400l, aplicada manualmente em teto, espes sura de 20mm, com execução de taliscas.</t>
  </si>
  <si>
    <t>REVESTIMENTO DE PAREDES</t>
  </si>
  <si>
    <t xml:space="preserve">Chapisco aplicado em alvenarias e estruturas de concreto, com colher de pedreiro. argamassa traço 1:3 com preparo em betoneira 400L. </t>
  </si>
  <si>
    <t>Massa única, para recebimento de pintura, em argamassa traço 1:2:8, preparo mecânico com betoneira 400L, aplicada manualmente em faces internas de paredes, espessura de 20mm, com execução de taliscas.</t>
  </si>
  <si>
    <t>120301</t>
  </si>
  <si>
    <t xml:space="preserve">Revestimento cerâmico para paredes internas com placas tipo esmaltada padrão popular de dimensões 20x20 cm, argamassa tipo AC I, aplicadas em ambientes de área maior que 5 m² a meia altura das paredes. </t>
  </si>
  <si>
    <t>MARCOS E ALIZARES</t>
  </si>
  <si>
    <t>8.1.1</t>
  </si>
  <si>
    <t>8.1.2</t>
  </si>
  <si>
    <t>Alizar de 5x1,5cm para porta fixado com pregos, padrão popular - fornecimento e instalação.</t>
  </si>
  <si>
    <t>Batente para porta de madeira, padrão popular - fornecimento e montagem</t>
  </si>
  <si>
    <t>FERRAGENS</t>
  </si>
  <si>
    <t>8.2.1</t>
  </si>
  <si>
    <t>8.2.2</t>
  </si>
  <si>
    <t>8.2.3</t>
  </si>
  <si>
    <t>Fechadura de embutir para porta de banheiro, completa, acabamento padrão popular, incluso execução de furo - fornecimento e instalação</t>
  </si>
  <si>
    <t>Fechadura de embutir com cilindro, externa, completa, acabamento padrão popular, incluso execução de furo - fornecimento e instalação</t>
  </si>
  <si>
    <t>Fechadura de embutir para portas internas, completa, acabamento padrãopopular, com execução de furo - fornecimento e instalação</t>
  </si>
  <si>
    <t>PORTAS EM MADEIRA</t>
  </si>
  <si>
    <t>8.3.1</t>
  </si>
  <si>
    <t>8.3.2</t>
  </si>
  <si>
    <t>8.3.3</t>
  </si>
  <si>
    <t>ESQUADRIAS DE MADEIRA</t>
  </si>
  <si>
    <t>Porta de madeira para verniz, semi-oca (leve ou média), 60x210cm, espessura de 3,5cm, incluso dobradiças - fornecimento e instalação.</t>
  </si>
  <si>
    <t>Porta de madeira para verniz, semi-oca (leve ou média), 70x210cm, espessura de 3,5cm, incluso dobradiças - fornecimento e instalação.</t>
  </si>
  <si>
    <t>Porta de madeira para verniz, semi-oca (leve ou média), 80x210cm, espessura de 3,5cm, incluso dobradiças - fornecimento e instalação.</t>
  </si>
  <si>
    <t>ESQUADRIAS METÁLICAS</t>
  </si>
  <si>
    <t>ESQUADRIAS METÁLICAS (M2)</t>
  </si>
  <si>
    <t>9.1.1</t>
  </si>
  <si>
    <t>9.1.2</t>
  </si>
  <si>
    <t>9.1.3</t>
  </si>
  <si>
    <t>10.1.1</t>
  </si>
  <si>
    <t>VIDROS PARA ESQUADRIAS</t>
  </si>
  <si>
    <t>ESTRUTURA PARA TELHADO</t>
  </si>
  <si>
    <t>11.1.1</t>
  </si>
  <si>
    <t>TELHADO</t>
  </si>
  <si>
    <t>11.2.1</t>
  </si>
  <si>
    <t>11.2.2</t>
  </si>
  <si>
    <t>Telhamento com telha cerâmica capa-canal, tipo colonial, com até 2 águas, incluso transporte vertical.</t>
  </si>
  <si>
    <t>Cumeeira para telha cerâmica emboçada com argamassa traço 1:2:9 (cimento, cal e areia) para telhados com até 2 águas, incluso transporte vertical.</t>
  </si>
  <si>
    <t>PISOS INTERNOS E EXTERNOS</t>
  </si>
  <si>
    <t>130112</t>
  </si>
  <si>
    <t>130303</t>
  </si>
  <si>
    <t>130103</t>
  </si>
  <si>
    <t>Piso cimentado, traço 1:3 (cimento e areia), acabamento rústico, espessura 3,0 cm, preparo mecânico da argamassa.</t>
  </si>
  <si>
    <t xml:space="preserve">Revestimento cerâmico para piso com placas tipo esmaltada extra de dimensões 45x45 cm aplicada em ambientes de área entre 5m² e 10m². </t>
  </si>
  <si>
    <t>INSTALAÇÃO HIDRO-SANITÁRIAS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</si>
  <si>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</si>
  <si>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</si>
  <si>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</si>
  <si>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</si>
  <si>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</si>
  <si>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</si>
  <si>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</si>
  <si>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</si>
  <si>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</si>
  <si>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</si>
  <si>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</si>
  <si>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APARELHOS HIDRO-SANITÁRIOS</t>
  </si>
  <si>
    <t>14.8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</si>
  <si>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</si>
  <si>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</si>
  <si>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</si>
  <si>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</si>
  <si>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</si>
  <si>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</si>
  <si>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</si>
  <si>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</si>
  <si>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</si>
  <si>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PINTURA</t>
  </si>
  <si>
    <t>SOBRE PAREDES E FORROS</t>
  </si>
  <si>
    <t>SOBRE MADEIRA</t>
  </si>
  <si>
    <t>17.1.1</t>
  </si>
  <si>
    <t>17.1.2</t>
  </si>
  <si>
    <t>17.1.3</t>
  </si>
  <si>
    <t>17.1.4</t>
  </si>
  <si>
    <t>17.2.1</t>
  </si>
  <si>
    <r>
      <t xml:space="preserve">Local: </t>
    </r>
    <r>
      <rPr>
        <sz val="10"/>
        <rFont val="Arial"/>
        <family val="2"/>
      </rPr>
      <t>Nova Conquista, Munícipo de Aracruz/ES</t>
    </r>
  </si>
  <si>
    <t>21.1.1</t>
  </si>
  <si>
    <t>21.1.2</t>
  </si>
  <si>
    <t>21.2.1</t>
  </si>
  <si>
    <t>22.1.1</t>
  </si>
  <si>
    <t>22.1.2</t>
  </si>
  <si>
    <t>22.1.3</t>
  </si>
  <si>
    <t>22.1.4</t>
  </si>
  <si>
    <t>22.1.5</t>
  </si>
  <si>
    <t>22.1.6</t>
  </si>
  <si>
    <t>22.1.7</t>
  </si>
  <si>
    <t>22.3.1</t>
  </si>
  <si>
    <t>23.1.1</t>
  </si>
  <si>
    <t>26.1.1</t>
  </si>
  <si>
    <t>26.1.2</t>
  </si>
  <si>
    <t>26.2.1</t>
  </si>
  <si>
    <t>26.2.2</t>
  </si>
  <si>
    <t>26.2.3</t>
  </si>
  <si>
    <t>26.2.4</t>
  </si>
  <si>
    <t>Puxador para PCD, fixado na porta - Fornecimento e instalação.</t>
  </si>
  <si>
    <t>91305</t>
  </si>
  <si>
    <t>91304</t>
  </si>
  <si>
    <t>26.3.2</t>
  </si>
  <si>
    <t>26.3.3</t>
  </si>
  <si>
    <t>Kit de porta de correr de madeira para pintura, semi-oca (pesada ou superpesada), padrão médio, 90x210cm, espessura de 3,5cm, itens inclusos: dobradiças, montagem e instalação do batente, sem fechadura - fornecimento e instalação.</t>
  </si>
  <si>
    <t>27.1.1</t>
  </si>
  <si>
    <t>27.1.2</t>
  </si>
  <si>
    <t>27.1.3</t>
  </si>
  <si>
    <t>130317</t>
  </si>
  <si>
    <t>29.1.1</t>
  </si>
  <si>
    <t>29.2</t>
  </si>
  <si>
    <t>29.2.1</t>
  </si>
  <si>
    <t>29.2.2</t>
  </si>
  <si>
    <t>30.0</t>
  </si>
  <si>
    <t>Aterro manual para regularização do terreno em argila, inclusive adensamento manual e fornecimento do material (máximo de 100m³)</t>
  </si>
  <si>
    <t>30.1</t>
  </si>
  <si>
    <t>30.2</t>
  </si>
  <si>
    <t>30.3</t>
  </si>
  <si>
    <t>30.4</t>
  </si>
  <si>
    <t>30.5</t>
  </si>
  <si>
    <t>30.6</t>
  </si>
  <si>
    <t>30.7</t>
  </si>
  <si>
    <t>Caixa de gordura simples, circular, em concreto pré-moldado, diâmetro interno = 0,4 m, altura interna = 0,4 m.</t>
  </si>
  <si>
    <t>Caixa enterrada hidráulica retangular, em concreto pré-moldado, dimensões internas: 0,3x0,3x0,3 m</t>
  </si>
  <si>
    <t>Vaso Sanitário sifonado com caixa acoplada em louça branca fornecimento e instalação.</t>
  </si>
  <si>
    <t>Bancada de mármore sintético 120 x 60cm, com cuba integrada, incluso sifão tipo garrafa em pvc, válvula em plástico cromado tipo americana e torneira cromada longa, de parede, padrão popular - Fornecimento e instalação</t>
  </si>
  <si>
    <t>Chuveiro eletrico comum corpo plastico tipo ducha, fornecimento e instalacao</t>
  </si>
  <si>
    <t>Válvula em metal cromado 1.1/2" x 1.1/2" para tanque ou lavatório,  fornecimento e instalacao</t>
  </si>
  <si>
    <t>Sifão do tipo garrafa em pvc 1.1/4" - fornecimento e instalação</t>
  </si>
  <si>
    <t>Torneira cromada 1/2" ou 3/4" para tanque, padrão popular. fornecimento e instalação</t>
  </si>
  <si>
    <t>Tanque de mármore sintético suspenso, 22l ou equivalente - fornecimento e instalação</t>
  </si>
  <si>
    <t>Lavatório louça branca suspenso, 29,5 x 39cm ou equivalente, padrão popular, incluso sifão flexível em pvc, válvula e engate flexível 30cm em plástico e torneira cromada de mesa, padrão popular - Fornecimento e instalação.</t>
  </si>
  <si>
    <t>Valor total do item 30.0</t>
  </si>
  <si>
    <t>Hidrômetro DN 25 (¾ ), 5,0 m³/h fornecimento e instalação.</t>
  </si>
  <si>
    <t>31.0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</si>
  <si>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</si>
  <si>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</si>
  <si>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</si>
  <si>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</si>
  <si>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</si>
  <si>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</si>
  <si>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</si>
  <si>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</si>
  <si>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</si>
  <si>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</si>
  <si>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</si>
  <si>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</si>
  <si>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</si>
  <si>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</si>
  <si>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</si>
  <si>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</si>
  <si>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</si>
  <si>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</si>
  <si>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Valor total do item 31.0</t>
  </si>
  <si>
    <t>32.0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</si>
  <si>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</si>
  <si>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</si>
  <si>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</si>
  <si>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</si>
  <si>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</si>
  <si>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</si>
  <si>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</si>
  <si>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</si>
  <si>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</si>
  <si>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Valor total do item 32.0</t>
  </si>
  <si>
    <t>33.0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</si>
  <si>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</si>
  <si>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</si>
  <si>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</si>
  <si>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</si>
  <si>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</si>
  <si>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</si>
  <si>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</si>
  <si>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</si>
  <si>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</si>
  <si>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</si>
  <si>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Valor total do item 33.0</t>
  </si>
  <si>
    <t>34.0</t>
  </si>
  <si>
    <t>34.1</t>
  </si>
  <si>
    <t>34.2</t>
  </si>
  <si>
    <t>34.3</t>
  </si>
  <si>
    <t>34.4</t>
  </si>
  <si>
    <t>34.5</t>
  </si>
  <si>
    <t>34.6</t>
  </si>
  <si>
    <t>34.7</t>
  </si>
  <si>
    <t>34.8</t>
  </si>
  <si>
    <t>Valor total do item 34.0</t>
  </si>
  <si>
    <t>35.0</t>
  </si>
  <si>
    <t>35.1</t>
  </si>
  <si>
    <t>35.1.1</t>
  </si>
  <si>
    <t>35.1.2</t>
  </si>
  <si>
    <t>35.1.3</t>
  </si>
  <si>
    <t>35.1.4</t>
  </si>
  <si>
    <t>35.2</t>
  </si>
  <si>
    <t>35.2.1</t>
  </si>
  <si>
    <t>Valor total do item 35.0</t>
  </si>
  <si>
    <t>36.0</t>
  </si>
  <si>
    <t>36.1</t>
  </si>
  <si>
    <t>36.2</t>
  </si>
  <si>
    <t>36.3</t>
  </si>
  <si>
    <t>36.4</t>
  </si>
  <si>
    <t>36.5</t>
  </si>
  <si>
    <t>36.6</t>
  </si>
  <si>
    <t>36.7</t>
  </si>
  <si>
    <t>37.0</t>
  </si>
  <si>
    <t>TRATAMENTO, CONSERVAÇÃO E LIMPEZA</t>
  </si>
  <si>
    <t>Valor total do item 37.0</t>
  </si>
  <si>
    <t>Valor total do item 36.0</t>
  </si>
  <si>
    <t>Viga baldrame composta de blocos de concreto tipo calha 14x19x39 cm na 1ª fiada e blocos de concreto 14x19x39 cm cheios de concreto 20 MPA, incl. armação c/ 2 barras de ferro corridos diam. 8.0 mm na 1ª fiada e grampos metálicos na 2ª fiada, conforme projeto</t>
  </si>
  <si>
    <t>Viga de travamento / respaldo de alvenaria composta de 1 fiada de blocos de concreto tipo calha 9x19x19, cheios de concreto 20 MPA, incl. armação c/ 2 barras de ferro corridos diam. 8.0 mm, conforme projeto</t>
  </si>
  <si>
    <t>Disjuntor monopolar tipo DIN, corrente nominal de 16A - Fornecimento e instalação.</t>
  </si>
  <si>
    <t>Disjuntor monopolar tipo DIN, corrente nominal de 20A - Fornecimento e instalação.</t>
  </si>
  <si>
    <t>Disjuntor monopolar tipo DIN, corrente nominal de 25A - Fornecimento e instalação.</t>
  </si>
  <si>
    <t>Disjuntor bipolar tipo DIN, corrente nominal de 25A - Fornecimento e instalação.</t>
  </si>
  <si>
    <t xml:space="preserve">Aplicação de fundo selador acrílico em teto, uma demão. </t>
  </si>
  <si>
    <t>Aplicação manual de pintura com tinta látex acrílica em teto, duas demãos.</t>
  </si>
  <si>
    <t xml:space="preserve">Aplicação de fundo selador acrílico em paredes, uma demão. </t>
  </si>
  <si>
    <t>Aplicação manual de pintura com tinta látex acrílica em paredes, duas demãos.</t>
  </si>
  <si>
    <t>Pintura verniz (incolor) alquídico em madeira, uso interno e externo,1 demão.</t>
  </si>
  <si>
    <t xml:space="preserve">Barra de apoio reta, em aco inox polido, comprimento 60cm, fixada na parede - Fornecimento e instalação. </t>
  </si>
  <si>
    <t xml:space="preserve"> Preparo de fundo de vala com largura menor que 1,5 m (acerto do solo natural).</t>
  </si>
  <si>
    <t>COMPOSIÇÕES DE CUSTOS</t>
  </si>
  <si>
    <t>ARGAMASSA TRAÇO 1:2:9 (EM VOLUME DE CIMENTO, CAL E AREIA MÉDIA ÚMIDA) PARA EMBOÇO/MASSA ÚNICA/ASSENTAMENTO DE ALVENARIA DE VEDAÇÃO, PREPARO MECÂNICO
COM BETONEIRA 600 L.</t>
  </si>
  <si>
    <t xml:space="preserve">ARGAMASSA TRAÇO 1:2:9 (EM VOLUME DE CIMENTO, CAL E AREIA MÉDIA ÚMIDA) PARA EMBOÇO/ MASSA ÚNICA/ ASSENTAMENTO DE ALVENARIA DE VEDAÇÃO, PREPARO MECÂNICO
COM BETONEIRA 600 L. </t>
  </si>
  <si>
    <t>22.2.1</t>
  </si>
  <si>
    <t>26.3.1</t>
  </si>
  <si>
    <t>28.1.1</t>
  </si>
  <si>
    <t>37.1</t>
  </si>
  <si>
    <t>A) Total - Serviços comuns à todas as unidades habitacionais</t>
  </si>
  <si>
    <t>B) Total - serviços para a construção de 01 (uma) unidade habitacional simples</t>
  </si>
  <si>
    <t>C) Total - serviços para a construção de 29 (vinte e nove) unidades habitacionais simples</t>
  </si>
  <si>
    <t>D) Total - serviços para a construção de e 01 (uma) unidade habitacional  com acessibilidade</t>
  </si>
  <si>
    <t>E) Total - serviços para a construção de 03 (três) unidades habitacionais com acessibilidade</t>
  </si>
  <si>
    <t>Total geral (A+C+E)</t>
  </si>
  <si>
    <t>CRONOGRAMA FISICO-FINANCEIRO</t>
  </si>
  <si>
    <r>
      <t xml:space="preserve">Local: </t>
    </r>
    <r>
      <rPr>
        <sz val="11"/>
        <rFont val="Arial"/>
        <family val="2"/>
      </rPr>
      <t>Nova Conquista, Munícipo de Aracruz/ES</t>
    </r>
  </si>
  <si>
    <t>EVOLUÇÃO DOS SERVIÇOS</t>
  </si>
  <si>
    <t xml:space="preserve">VALOR ACUMULADO DOS SERVIÇOS EXECUTADOS </t>
  </si>
  <si>
    <t>PORCENTAGEM ACUMULADO</t>
  </si>
  <si>
    <r>
      <t xml:space="preserve">Obra: </t>
    </r>
    <r>
      <rPr>
        <sz val="10"/>
        <rFont val="Arial"/>
        <family val="2"/>
      </rPr>
      <t>Construção de 32 Unidades Habitacionais do Programa "Nossa Casa"</t>
    </r>
  </si>
  <si>
    <r>
      <t xml:space="preserve">Obra: </t>
    </r>
    <r>
      <rPr>
        <sz val="11"/>
        <rFont val="Arial"/>
        <family val="2"/>
      </rPr>
      <t>Construção de 32 Unidades Habitacionais do Programa "Nossa Casa"</t>
    </r>
  </si>
  <si>
    <t>SERVIÇOS PARA A CONSTRUÇÃO DE 29 UNIDADES HABITACIONAIS SIMPLES</t>
  </si>
  <si>
    <t>SERVIÇOS PARA A CONSTRUÇÃO DE 03 UNIDADES HABITACIONAIS COM ACESSIBILIDADE</t>
  </si>
  <si>
    <r>
      <t xml:space="preserve">Elaborado por: </t>
    </r>
    <r>
      <rPr>
        <sz val="10"/>
        <rFont val="Arial"/>
        <family val="2"/>
      </rPr>
      <t>Thalles Soeiro de Souza</t>
    </r>
  </si>
  <si>
    <t>Data de elaboração da Pl.:</t>
  </si>
  <si>
    <t>2) BDI = 31,96% conforme orientação da Resolução TC nº 329 de 24 de setembro de 2019</t>
  </si>
  <si>
    <t>91307</t>
  </si>
  <si>
    <t>38.0</t>
  </si>
  <si>
    <t>Valor total do item 38.0</t>
  </si>
  <si>
    <t>Escavação, carga e transporte de material de 1º categoria - Local com DMT de 5,1 a 10,0 KM (0,889XP + 0,987XR + 1,852) - (Distância do Aterro mais próximo: 5,70 KM)</t>
  </si>
  <si>
    <t>Carregadeira de rodas ref. Caterpillar modelo 924H (1,9 m3) ( cab + ar ) ou equivalente</t>
  </si>
  <si>
    <t>Trator de esteiras ref. Caterpillar cm lâmina modelo D6T ou equivalente</t>
  </si>
  <si>
    <t>30023 DER-ES Rodovias</t>
  </si>
  <si>
    <t>Ut. Pr</t>
  </si>
  <si>
    <t>Ut. Impor</t>
  </si>
  <si>
    <t>Vl. Hr. Prod</t>
  </si>
  <si>
    <t>Vl. Hr. Imp</t>
  </si>
  <si>
    <t>Custo Horário</t>
  </si>
  <si>
    <t xml:space="preserve">Encarregado de terraplenagem </t>
  </si>
  <si>
    <t xml:space="preserve">Servente </t>
  </si>
  <si>
    <t>30017 DER-ES Rodovias</t>
  </si>
  <si>
    <t>20067 DER-ES Rodovias</t>
  </si>
  <si>
    <t>Eq. Salarial</t>
  </si>
  <si>
    <t>Encargos</t>
  </si>
  <si>
    <t>Sal/Hora</t>
  </si>
  <si>
    <t>Consumo</t>
  </si>
  <si>
    <t>(A) Equipamentos</t>
  </si>
  <si>
    <t>(B) Mão-de-Obra</t>
  </si>
  <si>
    <t>(C) Itens de Incidência</t>
  </si>
  <si>
    <t>M.O.</t>
  </si>
  <si>
    <t>Equip.</t>
  </si>
  <si>
    <t>Mat.</t>
  </si>
  <si>
    <t>Custo</t>
  </si>
  <si>
    <t>M3</t>
  </si>
  <si>
    <t>(D) Produção da Equipe</t>
  </si>
  <si>
    <t>(E) Custo Unitário da Execução [(A) + (B) + (C)] / (D)</t>
  </si>
  <si>
    <t>Custo Horário da Execução (A) + (B) + (C)</t>
  </si>
  <si>
    <t>(F) Materiais</t>
  </si>
  <si>
    <t>(G) Serviços</t>
  </si>
  <si>
    <t>(H) Itens de Transporte</t>
  </si>
  <si>
    <t>Custo Unid.</t>
  </si>
  <si>
    <t>Fórmula</t>
  </si>
  <si>
    <t>X1</t>
  </si>
  <si>
    <t>X2</t>
  </si>
  <si>
    <t>Custo Unit.</t>
  </si>
  <si>
    <t>Custo Unitário</t>
  </si>
  <si>
    <t>Custo Unitrário</t>
  </si>
  <si>
    <t>0,889XP + 0,987XR + 1,852</t>
  </si>
  <si>
    <t>T</t>
  </si>
  <si>
    <t>60021</t>
  </si>
  <si>
    <t>Transp. de Material de 1º categoria  - LOCAL COM DMT DE 5,1 A 10,0 KM (Caminhão basculante)</t>
  </si>
  <si>
    <t>Custo Direto Total (E) + (F) + (G) + (H)</t>
  </si>
  <si>
    <t>Preço Unitário Total</t>
  </si>
  <si>
    <t>2. Foi utilizado como referência o serviço N° 93205 "CINTA DE AMARRAÇÃO DE ALVENARIA MOLDADA IN LOCO COM UTILIZAÇÃO DE BLOCOS CANALETA" da tabela do SINAPI de dezembro/2021.</t>
  </si>
  <si>
    <t>COMP-03</t>
  </si>
  <si>
    <t>Recomposição de talude de corte com aterro de solo argiloso compactado, exclusive material de aterro</t>
  </si>
  <si>
    <t>DER/ES Rodovias</t>
  </si>
  <si>
    <t>41247</t>
  </si>
  <si>
    <t>38.1</t>
  </si>
  <si>
    <t>38.2</t>
  </si>
  <si>
    <t>41546</t>
  </si>
  <si>
    <t xml:space="preserve">Mobilização e desmobilização de caminhão basculante (máximo) </t>
  </si>
  <si>
    <t>41544</t>
  </si>
  <si>
    <t>Mobilização e desmobilização de equipamentos com carreta prancha (máximo)</t>
  </si>
  <si>
    <t>h</t>
  </si>
  <si>
    <t>F) Total - Movimentação, carga e transporte de material</t>
  </si>
  <si>
    <t>42200</t>
  </si>
  <si>
    <t>Hidrossemeadura simples em taludes</t>
  </si>
  <si>
    <t>38.3</t>
  </si>
  <si>
    <t>38.4</t>
  </si>
  <si>
    <t>38.5</t>
  </si>
  <si>
    <t>41547</t>
  </si>
  <si>
    <t>Mobilização e desmobilização de caminhão tanque (6.000 L) (máximo)</t>
  </si>
  <si>
    <t>38.6</t>
  </si>
  <si>
    <t xml:space="preserve">TERRAPLANAGEM </t>
  </si>
  <si>
    <t>1) Preços unitários, códigos e descrição dos insumos são compatíveis com as TABELAS CUSTOS REFERENCIAIS: DER-ES Edificações DEZ/2021 (LS=157,27% BDI=0,00%),  SINAPI/ES DEZ/2021, SCO-RIO DEZ/2021 e DER-ES Rodovias Junho/2021 sem desoneração.</t>
  </si>
  <si>
    <t>010512</t>
  </si>
  <si>
    <t>Equipe topográfica para serviços simples de locação e nivelamento (incluindo equipamento, transporte e profissionais nivel médio)</t>
  </si>
  <si>
    <t>mês</t>
  </si>
  <si>
    <t>38.7</t>
  </si>
  <si>
    <t>1. Preços unitários, códigos e descrição dos insumos são compatíveis com a TABELA CUSTOS REFERENCIAIS DER-DEZ/2021 (LS=157,27% BDI=0,00%) e a TABELA DE CUSTOS REFERÊNCIAIS SINAPI PREÇOS DE INSUMOS DEZ/2021.</t>
  </si>
  <si>
    <t>1. Preços unitários, códigos e descrição dos insumos são compatíveis com a TABELA CUSTOS REFERENCIAIS DER-JULHO/2021 (LS=157,27% BDI=0,00%)</t>
  </si>
  <si>
    <t>2. Foi utilizado como referência o serviço N° 40106 "Escavação, carga e transporte de material de 1º categoria" da tabela do DER/ES - Rodovias de JULHO/2021.</t>
  </si>
  <si>
    <t>JAN/2022</t>
  </si>
  <si>
    <t>TABELA CUSTOS REFERENCIAIS DER-JAN/2022 (LS=157,27% BDI=0,00%)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</si>
  <si>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</si>
  <si>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</si>
  <si>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</si>
  <si>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</si>
  <si>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</si>
  <si>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</si>
  <si>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</si>
  <si>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</si>
  <si>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>390 dias</t>
  </si>
  <si>
    <t>420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</si>
</sst>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.000%"/>
    <numFmt numFmtId="167" formatCode="0.0000"/>
    <numFmt numFmtId="168" formatCode="#,##0.00_ ;[Red]\-#,##0.00\ "/>
    <numFmt numFmtId="169" formatCode="_(&quot;R$ &quot;* #,##0.00_);_(&quot;R$ &quot;* \(#,##0.00\);_(&quot;R$ &quot;* &quot;-&quot;??_);_(@_)"/>
    <numFmt numFmtId="170" formatCode="_(* #,##0.00_);_(* \(#,##0.00\);_(* \-??_);_(@_)"/>
    <numFmt numFmtId="171" formatCode="0.00000"/>
    <numFmt numFmtId="172" formatCode="_(&quot;R$ &quot;* #,##0.00_);_(&quot;R$ &quot;* \(#,##0.00\);_(&quot;R$ &quot;* \-??_);_(@_)"/>
    <numFmt numFmtId="173" formatCode="_-* #,##0.00_-;\-* #,##0.00_-;_-* \-??_-;_-@_-"/>
    <numFmt numFmtId="174" formatCode="[$R$-416]\ #,##0.00;[Red]\-[$R$-416]\ #,##0.00"/>
    <numFmt numFmtId="175" formatCode="mm/yy"/>
    <numFmt numFmtId="176" formatCode="#,##0.00_);\(#,##0.00\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7"/>
      <name val="MS Serif"/>
      <family val="1"/>
    </font>
    <font>
      <sz val="10"/>
      <name val="MS Serif"/>
      <family val="1"/>
    </font>
    <font>
      <sz val="9"/>
      <name val="MS Serif"/>
      <family val="1"/>
    </font>
    <font>
      <b/>
      <sz val="10"/>
      <color indexed="8"/>
      <name val="MS Serif"/>
      <family val="1"/>
    </font>
    <font>
      <b/>
      <sz val="10"/>
      <name val="MS Serif"/>
      <family val="1"/>
    </font>
    <font>
      <sz val="10"/>
      <color indexed="8"/>
      <name val="MS Serif"/>
      <family val="1"/>
    </font>
    <font>
      <b/>
      <sz val="8"/>
      <name val="MS Serif"/>
      <family val="1"/>
    </font>
    <font>
      <sz val="8.5"/>
      <name val="MS Serif"/>
      <family val="1"/>
    </font>
    <font>
      <sz val="7"/>
      <name val="MS Serif"/>
      <family val="1"/>
    </font>
    <font>
      <b/>
      <sz val="10"/>
      <color indexed="56"/>
      <name val="MS Serif"/>
      <family val="1"/>
    </font>
    <font>
      <sz val="8"/>
      <name val="MS Serif"/>
      <family val="1"/>
    </font>
    <font>
      <b/>
      <sz val="10"/>
      <color indexed="17"/>
      <name val="MS Serif"/>
      <family val="1"/>
    </font>
    <font>
      <b/>
      <sz val="10"/>
      <color indexed="10"/>
      <name val="MS Serif"/>
      <family val="1"/>
    </font>
    <font>
      <b/>
      <sz val="12"/>
      <color indexed="17"/>
      <name val="MS Serif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.5"/>
      <name val="Tahoma"/>
      <family val="2"/>
    </font>
    <font>
      <b/>
      <sz val="10"/>
      <color indexed="17"/>
      <name val="Tahoma"/>
      <family val="2"/>
    </font>
    <font>
      <b/>
      <sz val="10"/>
      <name val="Arial"/>
      <family val="2"/>
    </font>
    <font>
      <b/>
      <sz val="14"/>
      <name val="Tahoma"/>
      <family val="2"/>
    </font>
    <font>
      <sz val="1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Courier"/>
      <family val="3"/>
    </font>
    <font>
      <b/>
      <u/>
      <sz val="16"/>
      <name val="Calibri"/>
      <family val="2"/>
      <scheme val="minor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sz val="11"/>
      <color rgb="FF000000"/>
      <name val="Calibri"/>
      <family val="2"/>
      <charset val="1"/>
    </font>
    <font>
      <b/>
      <sz val="20"/>
      <name val="Arial"/>
      <family val="2"/>
      <charset val="1"/>
    </font>
    <font>
      <b/>
      <sz val="11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D9D9D9"/>
        <bgColor rgb="FFD7E4BD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999999"/>
      </patternFill>
    </fill>
    <fill>
      <patternFill patternType="solid">
        <fgColor rgb="FF999999"/>
        <bgColor rgb="FF969696"/>
      </patternFill>
    </fill>
    <fill>
      <patternFill patternType="solid">
        <fgColor rgb="FFDCE6F2"/>
        <bgColor rgb="FFD9D9D9"/>
      </patternFill>
    </fill>
    <fill>
      <patternFill patternType="solid">
        <fgColor rgb="FFC0C0C0"/>
        <bgColor rgb="FFBFBFBF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8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0" borderId="0"/>
    <xf numFmtId="0" fontId="54" fillId="0" borderId="0"/>
    <xf numFmtId="165" fontId="53" fillId="0" borderId="0" applyBorder="0" applyProtection="0"/>
    <xf numFmtId="172" fontId="53" fillId="0" borderId="0" applyBorder="0" applyProtection="0"/>
    <xf numFmtId="0" fontId="59" fillId="0" borderId="0"/>
    <xf numFmtId="0" fontId="59" fillId="0" borderId="0"/>
    <xf numFmtId="0" fontId="57" fillId="0" borderId="0">
      <alignment vertical="top"/>
    </xf>
    <xf numFmtId="0" fontId="54" fillId="0" borderId="0"/>
    <xf numFmtId="9" fontId="53" fillId="0" borderId="0" applyBorder="0" applyProtection="0"/>
    <xf numFmtId="9" fontId="53" fillId="0" borderId="0" applyBorder="0" applyProtection="0"/>
    <xf numFmtId="9" fontId="54" fillId="0" borderId="0" applyBorder="0" applyProtection="0"/>
    <xf numFmtId="9" fontId="53" fillId="0" borderId="0" applyBorder="0" applyProtection="0"/>
    <xf numFmtId="9" fontId="53" fillId="0" borderId="0" applyBorder="0" applyProtection="0"/>
    <xf numFmtId="170" fontId="54" fillId="0" borderId="0" applyBorder="0" applyProtection="0"/>
    <xf numFmtId="170" fontId="53" fillId="0" borderId="0" applyBorder="0" applyProtection="0"/>
    <xf numFmtId="173" fontId="53" fillId="0" borderId="0" applyBorder="0" applyProtection="0"/>
    <xf numFmtId="170" fontId="53" fillId="0" borderId="0" applyBorder="0" applyProtection="0"/>
    <xf numFmtId="0" fontId="59" fillId="0" borderId="0"/>
    <xf numFmtId="166" fontId="2" fillId="0" borderId="0" applyBorder="0" applyProtection="0"/>
    <xf numFmtId="9" fontId="2" fillId="0" borderId="0" applyBorder="0" applyProtection="0"/>
  </cellStyleXfs>
  <cellXfs count="696">
    <xf numFmtId="0" fontId="0" fillId="0" borderId="0" xfId="0"/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2" borderId="4" xfId="0" applyFont="1" applyFill="1" applyBorder="1" applyAlignment="1" applyProtection="1"/>
    <xf numFmtId="0" fontId="5" fillId="0" borderId="5" xfId="0" applyFont="1" applyFill="1" applyBorder="1" applyAlignment="1">
      <alignment horizontal="left"/>
    </xf>
    <xf numFmtId="0" fontId="4" fillId="2" borderId="6" xfId="0" applyFont="1" applyFill="1" applyBorder="1" applyAlignment="1" applyProtection="1"/>
    <xf numFmtId="0" fontId="4" fillId="2" borderId="7" xfId="0" applyFont="1" applyFill="1" applyBorder="1" applyAlignment="1" applyProtection="1"/>
    <xf numFmtId="0" fontId="5" fillId="0" borderId="8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/>
    <xf numFmtId="164" fontId="4" fillId="0" borderId="10" xfId="3" applyFont="1" applyBorder="1" applyProtection="1"/>
    <xf numFmtId="4" fontId="4" fillId="0" borderId="11" xfId="0" applyNumberFormat="1" applyFont="1" applyFill="1" applyBorder="1" applyAlignment="1">
      <alignment horizontal="right"/>
    </xf>
    <xf numFmtId="0" fontId="4" fillId="0" borderId="10" xfId="0" applyFont="1" applyBorder="1" applyProtection="1"/>
    <xf numFmtId="0" fontId="14" fillId="0" borderId="12" xfId="0" applyFont="1" applyBorder="1" applyProtection="1"/>
    <xf numFmtId="4" fontId="14" fillId="0" borderId="13" xfId="0" applyNumberFormat="1" applyFont="1" applyBorder="1" applyAlignment="1" applyProtection="1">
      <alignment horizontal="center"/>
    </xf>
    <xf numFmtId="4" fontId="14" fillId="0" borderId="13" xfId="0" applyNumberFormat="1" applyFont="1" applyBorder="1" applyProtection="1"/>
    <xf numFmtId="0" fontId="10" fillId="0" borderId="10" xfId="0" applyFont="1" applyBorder="1" applyProtection="1"/>
    <xf numFmtId="0" fontId="4" fillId="0" borderId="0" xfId="0" applyFont="1" applyProtection="1"/>
    <xf numFmtId="0" fontId="10" fillId="0" borderId="0" xfId="0" applyFont="1" applyProtection="1"/>
    <xf numFmtId="164" fontId="4" fillId="0" borderId="0" xfId="0" applyNumberFormat="1" applyFont="1" applyProtection="1"/>
    <xf numFmtId="4" fontId="10" fillId="0" borderId="14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  <xf numFmtId="4" fontId="4" fillId="0" borderId="11" xfId="0" applyNumberFormat="1" applyFont="1" applyBorder="1" applyProtection="1"/>
    <xf numFmtId="164" fontId="4" fillId="0" borderId="11" xfId="3" applyFont="1" applyBorder="1" applyProtection="1"/>
    <xf numFmtId="0" fontId="4" fillId="0" borderId="15" xfId="0" applyFont="1" applyFill="1" applyBorder="1" applyAlignment="1">
      <alignment horizontal="center" vertical="top"/>
    </xf>
    <xf numFmtId="4" fontId="4" fillId="0" borderId="11" xfId="0" applyNumberFormat="1" applyFont="1" applyFill="1" applyBorder="1"/>
    <xf numFmtId="0" fontId="14" fillId="0" borderId="16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justify"/>
    </xf>
    <xf numFmtId="0" fontId="4" fillId="0" borderId="18" xfId="0" applyFont="1" applyBorder="1" applyProtection="1"/>
    <xf numFmtId="0" fontId="4" fillId="0" borderId="19" xfId="0" applyFont="1" applyBorder="1" applyProtection="1"/>
    <xf numFmtId="0" fontId="4" fillId="0" borderId="20" xfId="0" applyFont="1" applyBorder="1" applyProtection="1"/>
    <xf numFmtId="0" fontId="4" fillId="2" borderId="21" xfId="0" applyFont="1" applyFill="1" applyBorder="1" applyAlignment="1" applyProtection="1"/>
    <xf numFmtId="0" fontId="4" fillId="2" borderId="22" xfId="0" applyFont="1" applyFill="1" applyBorder="1" applyAlignment="1" applyProtection="1"/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7" fillId="0" borderId="25" xfId="0" applyFont="1" applyBorder="1" applyAlignment="1" applyProtection="1">
      <alignment horizontal="left" vertical="center"/>
    </xf>
    <xf numFmtId="0" fontId="5" fillId="2" borderId="26" xfId="0" applyFont="1" applyFill="1" applyBorder="1" applyAlignment="1">
      <alignment horizontal="left"/>
    </xf>
    <xf numFmtId="0" fontId="4" fillId="0" borderId="27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/>
    </xf>
    <xf numFmtId="166" fontId="4" fillId="0" borderId="28" xfId="2" applyNumberFormat="1" applyFont="1" applyBorder="1" applyProtection="1"/>
    <xf numFmtId="0" fontId="8" fillId="0" borderId="29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4" fontId="4" fillId="0" borderId="17" xfId="0" applyNumberFormat="1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/>
    </xf>
    <xf numFmtId="164" fontId="10" fillId="0" borderId="17" xfId="3" applyFont="1" applyBorder="1" applyAlignment="1" applyProtection="1">
      <alignment horizontal="center" vertical="top" wrapText="1"/>
    </xf>
    <xf numFmtId="166" fontId="11" fillId="0" borderId="30" xfId="2" applyNumberFormat="1" applyFont="1" applyBorder="1" applyAlignment="1" applyProtection="1">
      <alignment horizontal="center" vertical="top" wrapText="1"/>
    </xf>
    <xf numFmtId="0" fontId="10" fillId="0" borderId="8" xfId="0" applyFont="1" applyBorder="1" applyAlignment="1" applyProtection="1">
      <alignment horizontal="center"/>
    </xf>
    <xf numFmtId="4" fontId="7" fillId="0" borderId="31" xfId="0" applyNumberFormat="1" applyFont="1" applyBorder="1" applyProtection="1"/>
    <xf numFmtId="4" fontId="7" fillId="0" borderId="32" xfId="0" applyNumberFormat="1" applyFont="1" applyBorder="1" applyProtection="1"/>
    <xf numFmtId="4" fontId="7" fillId="0" borderId="33" xfId="0" applyNumberFormat="1" applyFont="1" applyBorder="1" applyProtection="1"/>
    <xf numFmtId="166" fontId="3" fillId="0" borderId="34" xfId="2" applyNumberFormat="1" applyFont="1" applyBorder="1" applyProtection="1"/>
    <xf numFmtId="0" fontId="4" fillId="0" borderId="17" xfId="0" applyFont="1" applyFill="1" applyBorder="1" applyAlignment="1">
      <alignment horizontal="center"/>
    </xf>
    <xf numFmtId="4" fontId="4" fillId="0" borderId="17" xfId="0" applyNumberFormat="1" applyFont="1" applyFill="1" applyBorder="1"/>
    <xf numFmtId="14" fontId="5" fillId="0" borderId="35" xfId="0" applyNumberFormat="1" applyFont="1" applyFill="1" applyBorder="1" applyAlignment="1">
      <alignment horizontal="left"/>
    </xf>
    <xf numFmtId="14" fontId="5" fillId="0" borderId="30" xfId="0" applyNumberFormat="1" applyFont="1" applyFill="1" applyBorder="1" applyAlignment="1">
      <alignment horizontal="left"/>
    </xf>
    <xf numFmtId="0" fontId="12" fillId="0" borderId="11" xfId="0" applyFont="1" applyFill="1" applyBorder="1" applyAlignment="1" applyProtection="1">
      <alignment horizontal="right"/>
    </xf>
    <xf numFmtId="4" fontId="7" fillId="0" borderId="11" xfId="0" applyNumberFormat="1" applyFont="1" applyFill="1" applyBorder="1" applyAlignment="1" applyProtection="1">
      <alignment horizontal="center"/>
    </xf>
    <xf numFmtId="4" fontId="7" fillId="0" borderId="11" xfId="0" applyNumberFormat="1" applyFont="1" applyFill="1" applyBorder="1" applyProtection="1"/>
    <xf numFmtId="166" fontId="7" fillId="0" borderId="28" xfId="2" applyNumberFormat="1" applyFont="1" applyFill="1" applyBorder="1" applyProtection="1"/>
    <xf numFmtId="4" fontId="16" fillId="0" borderId="13" xfId="0" applyNumberFormat="1" applyFont="1" applyBorder="1" applyProtection="1"/>
    <xf numFmtId="166" fontId="7" fillId="0" borderId="36" xfId="2" applyNumberFormat="1" applyFont="1" applyFill="1" applyBorder="1" applyProtection="1"/>
    <xf numFmtId="10" fontId="4" fillId="0" borderId="28" xfId="2" applyNumberFormat="1" applyFont="1" applyBorder="1" applyProtection="1"/>
    <xf numFmtId="0" fontId="4" fillId="0" borderId="29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justify" vertical="justify" wrapText="1"/>
    </xf>
    <xf numFmtId="0" fontId="4" fillId="0" borderId="17" xfId="0" applyFont="1" applyBorder="1" applyAlignment="1" applyProtection="1">
      <alignment horizontal="justify" vertical="justify" wrapText="1"/>
    </xf>
    <xf numFmtId="0" fontId="13" fillId="0" borderId="29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justify" vertical="justify" wrapText="1"/>
    </xf>
    <xf numFmtId="0" fontId="13" fillId="0" borderId="17" xfId="0" applyFont="1" applyFill="1" applyBorder="1" applyAlignment="1">
      <alignment horizontal="center"/>
    </xf>
    <xf numFmtId="4" fontId="13" fillId="0" borderId="17" xfId="0" applyNumberFormat="1" applyFont="1" applyFill="1" applyBorder="1"/>
    <xf numFmtId="0" fontId="17" fillId="0" borderId="0" xfId="0" applyFont="1"/>
    <xf numFmtId="166" fontId="0" fillId="0" borderId="0" xfId="0" applyNumberFormat="1"/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vertical="top"/>
    </xf>
    <xf numFmtId="4" fontId="4" fillId="0" borderId="11" xfId="0" applyNumberFormat="1" applyFont="1" applyFill="1" applyBorder="1" applyAlignment="1">
      <alignment horizontal="right" vertical="top"/>
    </xf>
    <xf numFmtId="164" fontId="4" fillId="0" borderId="11" xfId="3" applyFont="1" applyBorder="1" applyAlignment="1" applyProtection="1">
      <alignment vertical="top"/>
    </xf>
    <xf numFmtId="166" fontId="4" fillId="0" borderId="28" xfId="2" applyNumberFormat="1" applyFont="1" applyBorder="1" applyAlignment="1" applyProtection="1">
      <alignment vertical="top"/>
    </xf>
    <xf numFmtId="4" fontId="4" fillId="0" borderId="11" xfId="0" applyNumberFormat="1" applyFont="1" applyFill="1" applyBorder="1" applyAlignment="1">
      <alignment vertical="top"/>
    </xf>
    <xf numFmtId="0" fontId="13" fillId="0" borderId="11" xfId="0" applyFont="1" applyFill="1" applyBorder="1" applyAlignment="1">
      <alignment horizontal="left" vertical="top" wrapText="1"/>
    </xf>
    <xf numFmtId="164" fontId="4" fillId="0" borderId="11" xfId="3" applyFont="1" applyFill="1" applyBorder="1" applyProtection="1"/>
    <xf numFmtId="4" fontId="0" fillId="0" borderId="0" xfId="0" applyNumberFormat="1"/>
    <xf numFmtId="0" fontId="4" fillId="0" borderId="37" xfId="0" applyFont="1" applyFill="1" applyBorder="1" applyAlignment="1">
      <alignment horizontal="center" vertical="top"/>
    </xf>
    <xf numFmtId="0" fontId="10" fillId="0" borderId="38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0" fillId="0" borderId="11" xfId="0" applyBorder="1"/>
    <xf numFmtId="0" fontId="4" fillId="0" borderId="37" xfId="0" applyFont="1" applyBorder="1" applyProtection="1"/>
    <xf numFmtId="0" fontId="7" fillId="0" borderId="11" xfId="0" applyFont="1" applyFill="1" applyBorder="1" applyAlignment="1" applyProtection="1">
      <alignment horizontal="right"/>
    </xf>
    <xf numFmtId="9" fontId="4" fillId="0" borderId="11" xfId="0" applyNumberFormat="1" applyFont="1" applyFill="1" applyBorder="1" applyAlignment="1" applyProtection="1">
      <alignment horizontal="center"/>
    </xf>
    <xf numFmtId="2" fontId="4" fillId="0" borderId="11" xfId="0" applyNumberFormat="1" applyFont="1" applyFill="1" applyBorder="1" applyProtection="1"/>
    <xf numFmtId="10" fontId="13" fillId="0" borderId="11" xfId="0" applyNumberFormat="1" applyFont="1" applyFill="1" applyBorder="1" applyProtection="1"/>
    <xf numFmtId="0" fontId="7" fillId="0" borderId="11" xfId="0" applyFont="1" applyFill="1" applyBorder="1" applyProtection="1"/>
    <xf numFmtId="4" fontId="15" fillId="0" borderId="11" xfId="0" applyNumberFormat="1" applyFont="1" applyBorder="1" applyProtection="1"/>
    <xf numFmtId="0" fontId="4" fillId="0" borderId="28" xfId="0" applyFont="1" applyFill="1" applyBorder="1" applyProtection="1"/>
    <xf numFmtId="0" fontId="7" fillId="0" borderId="37" xfId="0" applyFont="1" applyBorder="1" applyProtection="1"/>
    <xf numFmtId="0" fontId="7" fillId="0" borderId="39" xfId="0" applyFont="1" applyFill="1" applyBorder="1" applyAlignment="1" applyProtection="1">
      <alignment horizontal="left"/>
    </xf>
    <xf numFmtId="9" fontId="4" fillId="0" borderId="39" xfId="0" applyNumberFormat="1" applyFont="1" applyFill="1" applyBorder="1" applyAlignment="1" applyProtection="1">
      <alignment horizontal="center"/>
    </xf>
    <xf numFmtId="2" fontId="4" fillId="0" borderId="39" xfId="0" applyNumberFormat="1" applyFont="1" applyFill="1" applyBorder="1" applyProtection="1"/>
    <xf numFmtId="10" fontId="13" fillId="0" borderId="39" xfId="0" applyNumberFormat="1" applyFont="1" applyFill="1" applyBorder="1" applyProtection="1"/>
    <xf numFmtId="0" fontId="7" fillId="0" borderId="39" xfId="0" applyFont="1" applyFill="1" applyBorder="1" applyProtection="1"/>
    <xf numFmtId="164" fontId="4" fillId="0" borderId="39" xfId="3" applyFont="1" applyFill="1" applyBorder="1" applyProtection="1"/>
    <xf numFmtId="0" fontId="4" fillId="0" borderId="40" xfId="0" applyFont="1" applyFill="1" applyBorder="1" applyProtection="1"/>
    <xf numFmtId="0" fontId="13" fillId="0" borderId="37" xfId="0" applyFont="1" applyFill="1" applyBorder="1" applyAlignment="1">
      <alignment horizontal="center" vertical="top"/>
    </xf>
    <xf numFmtId="0" fontId="8" fillId="0" borderId="37" xfId="0" applyFont="1" applyBorder="1" applyAlignment="1" applyProtection="1">
      <alignment horizontal="center" vertical="center" wrapText="1"/>
    </xf>
    <xf numFmtId="0" fontId="10" fillId="0" borderId="37" xfId="0" applyFont="1" applyBorder="1" applyProtection="1"/>
    <xf numFmtId="0" fontId="4" fillId="0" borderId="41" xfId="0" applyFont="1" applyBorder="1" applyProtection="1"/>
    <xf numFmtId="0" fontId="13" fillId="3" borderId="11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center" vertical="top" wrapText="1"/>
    </xf>
    <xf numFmtId="4" fontId="4" fillId="3" borderId="17" xfId="0" applyNumberFormat="1" applyFont="1" applyFill="1" applyBorder="1" applyAlignment="1">
      <alignment vertical="top"/>
    </xf>
    <xf numFmtId="4" fontId="4" fillId="3" borderId="11" xfId="0" applyNumberFormat="1" applyFont="1" applyFill="1" applyBorder="1" applyAlignment="1">
      <alignment horizontal="right" vertical="top"/>
    </xf>
    <xf numFmtId="164" fontId="4" fillId="3" borderId="11" xfId="3" applyFont="1" applyFill="1" applyBorder="1" applyAlignment="1" applyProtection="1">
      <alignment vertical="top"/>
    </xf>
    <xf numFmtId="166" fontId="4" fillId="3" borderId="28" xfId="2" applyNumberFormat="1" applyFont="1" applyFill="1" applyBorder="1" applyProtection="1"/>
    <xf numFmtId="0" fontId="7" fillId="3" borderId="11" xfId="0" applyFont="1" applyFill="1" applyBorder="1" applyAlignment="1" applyProtection="1">
      <alignment horizontal="right"/>
    </xf>
    <xf numFmtId="9" fontId="4" fillId="3" borderId="11" xfId="0" applyNumberFormat="1" applyFont="1" applyFill="1" applyBorder="1" applyAlignment="1" applyProtection="1">
      <alignment horizontal="center"/>
    </xf>
    <xf numFmtId="2" fontId="4" fillId="3" borderId="11" xfId="0" applyNumberFormat="1" applyFont="1" applyFill="1" applyBorder="1" applyProtection="1"/>
    <xf numFmtId="10" fontId="13" fillId="3" borderId="11" xfId="0" applyNumberFormat="1" applyFont="1" applyFill="1" applyBorder="1" applyProtection="1"/>
    <xf numFmtId="0" fontId="7" fillId="3" borderId="11" xfId="0" applyFont="1" applyFill="1" applyBorder="1" applyProtection="1"/>
    <xf numFmtId="164" fontId="15" fillId="3" borderId="11" xfId="3" applyFont="1" applyFill="1" applyBorder="1" applyProtection="1"/>
    <xf numFmtId="0" fontId="4" fillId="0" borderId="37" xfId="0" applyFont="1" applyFill="1" applyBorder="1" applyAlignment="1">
      <alignment horizontal="left" vertical="justify"/>
    </xf>
    <xf numFmtId="17" fontId="4" fillId="0" borderId="37" xfId="0" applyNumberFormat="1" applyFont="1" applyFill="1" applyBorder="1" applyAlignment="1">
      <alignment horizontal="left" vertical="justify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 applyFill="1"/>
    <xf numFmtId="4" fontId="18" fillId="0" borderId="0" xfId="0" applyNumberFormat="1" applyFont="1" applyFill="1" applyAlignment="1" applyProtection="1">
      <alignment vertical="center" wrapText="1"/>
    </xf>
    <xf numFmtId="0" fontId="19" fillId="3" borderId="0" xfId="0" applyFont="1" applyFill="1"/>
    <xf numFmtId="0" fontId="20" fillId="0" borderId="0" xfId="0" applyFont="1" applyFill="1"/>
    <xf numFmtId="0" fontId="2" fillId="0" borderId="0" xfId="0" applyFont="1" applyFill="1"/>
    <xf numFmtId="17" fontId="8" fillId="0" borderId="9" xfId="0" applyNumberFormat="1" applyFont="1" applyBorder="1" applyAlignment="1" applyProtection="1"/>
    <xf numFmtId="0" fontId="5" fillId="2" borderId="2" xfId="0" applyFont="1" applyFill="1" applyBorder="1" applyAlignment="1">
      <alignment horizontal="left"/>
    </xf>
    <xf numFmtId="164" fontId="10" fillId="0" borderId="42" xfId="3" applyFont="1" applyBorder="1" applyAlignment="1" applyProtection="1">
      <alignment horizontal="center" vertical="top" wrapText="1"/>
    </xf>
    <xf numFmtId="4" fontId="4" fillId="0" borderId="43" xfId="3" applyNumberFormat="1" applyFont="1" applyBorder="1" applyAlignment="1" applyProtection="1">
      <alignment vertical="center"/>
    </xf>
    <xf numFmtId="10" fontId="14" fillId="0" borderId="34" xfId="2" applyNumberFormat="1" applyFont="1" applyBorder="1" applyAlignment="1" applyProtection="1">
      <alignment vertical="center"/>
    </xf>
    <xf numFmtId="4" fontId="26" fillId="0" borderId="44" xfId="0" applyNumberFormat="1" applyFont="1" applyBorder="1" applyAlignment="1" applyProtection="1">
      <alignment horizontal="center"/>
    </xf>
    <xf numFmtId="4" fontId="26" fillId="0" borderId="45" xfId="0" applyNumberFormat="1" applyFont="1" applyBorder="1" applyAlignment="1" applyProtection="1">
      <alignment horizontal="center"/>
    </xf>
    <xf numFmtId="0" fontId="26" fillId="0" borderId="46" xfId="0" applyFont="1" applyBorder="1" applyAlignment="1" applyProtection="1">
      <alignment horizontal="center"/>
    </xf>
    <xf numFmtId="0" fontId="26" fillId="0" borderId="47" xfId="0" applyFont="1" applyBorder="1" applyAlignment="1" applyProtection="1">
      <alignment horizontal="center"/>
    </xf>
    <xf numFmtId="4" fontId="0" fillId="0" borderId="0" xfId="0" applyNumberFormat="1" applyFill="1"/>
    <xf numFmtId="0" fontId="17" fillId="0" borderId="0" xfId="0" applyFont="1" applyFill="1"/>
    <xf numFmtId="10" fontId="14" fillId="0" borderId="0" xfId="2" applyNumberFormat="1" applyFont="1" applyBorder="1" applyAlignment="1" applyProtection="1">
      <alignment vertical="center"/>
    </xf>
    <xf numFmtId="0" fontId="5" fillId="0" borderId="0" xfId="0" applyFont="1" applyFill="1" applyBorder="1" applyAlignment="1">
      <alignment horizontal="left"/>
    </xf>
    <xf numFmtId="17" fontId="8" fillId="0" borderId="0" xfId="0" applyNumberFormat="1" applyFont="1" applyBorder="1" applyAlignment="1" applyProtection="1"/>
    <xf numFmtId="0" fontId="24" fillId="0" borderId="48" xfId="0" applyFont="1" applyBorder="1" applyAlignment="1" applyProtection="1">
      <alignment horizontal="center" vertical="center" wrapText="1"/>
    </xf>
    <xf numFmtId="4" fontId="22" fillId="0" borderId="48" xfId="0" applyNumberFormat="1" applyFont="1" applyBorder="1" applyAlignment="1" applyProtection="1">
      <alignment horizontal="center" vertical="center" wrapText="1"/>
    </xf>
    <xf numFmtId="0" fontId="22" fillId="0" borderId="48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4" fontId="22" fillId="0" borderId="48" xfId="0" applyNumberFormat="1" applyFont="1" applyFill="1" applyBorder="1" applyAlignment="1">
      <alignment vertical="center"/>
    </xf>
    <xf numFmtId="4" fontId="22" fillId="0" borderId="48" xfId="0" applyNumberFormat="1" applyFont="1" applyFill="1" applyBorder="1" applyAlignment="1">
      <alignment horizontal="right" vertical="center"/>
    </xf>
    <xf numFmtId="0" fontId="22" fillId="0" borderId="48" xfId="0" applyFont="1" applyBorder="1" applyAlignment="1">
      <alignment horizontal="justify" wrapText="1"/>
    </xf>
    <xf numFmtId="4" fontId="22" fillId="0" borderId="48" xfId="0" applyNumberFormat="1" applyFont="1" applyBorder="1" applyAlignment="1" applyProtection="1">
      <alignment horizontal="center" vertical="center"/>
    </xf>
    <xf numFmtId="4" fontId="22" fillId="0" borderId="48" xfId="0" applyNumberFormat="1" applyFont="1" applyBorder="1" applyAlignment="1" applyProtection="1">
      <alignment vertical="center"/>
    </xf>
    <xf numFmtId="0" fontId="22" fillId="0" borderId="48" xfId="0" applyFont="1" applyFill="1" applyBorder="1" applyAlignment="1">
      <alignment horizontal="justify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justify" vertical="center" wrapText="1"/>
    </xf>
    <xf numFmtId="4" fontId="22" fillId="0" borderId="48" xfId="0" applyNumberFormat="1" applyFont="1" applyFill="1" applyBorder="1" applyAlignment="1" applyProtection="1">
      <alignment horizontal="center" vertical="center"/>
    </xf>
    <xf numFmtId="4" fontId="22" fillId="0" borderId="48" xfId="0" applyNumberFormat="1" applyFont="1" applyFill="1" applyBorder="1" applyAlignment="1" applyProtection="1">
      <alignment vertical="center"/>
    </xf>
    <xf numFmtId="0" fontId="21" fillId="0" borderId="48" xfId="0" applyFont="1" applyFill="1" applyBorder="1"/>
    <xf numFmtId="0" fontId="22" fillId="0" borderId="48" xfId="0" applyFont="1" applyFill="1" applyBorder="1" applyAlignment="1">
      <alignment horizontal="left" vertical="center" wrapText="1"/>
    </xf>
    <xf numFmtId="0" fontId="22" fillId="0" borderId="48" xfId="0" applyFont="1" applyFill="1" applyBorder="1"/>
    <xf numFmtId="0" fontId="22" fillId="0" borderId="48" xfId="0" applyFont="1" applyFill="1" applyBorder="1" applyAlignment="1">
      <alignment wrapText="1"/>
    </xf>
    <xf numFmtId="0" fontId="22" fillId="0" borderId="48" xfId="0" applyFont="1" applyBorder="1" applyAlignment="1">
      <alignment wrapText="1"/>
    </xf>
    <xf numFmtId="0" fontId="27" fillId="0" borderId="48" xfId="0" applyFont="1" applyBorder="1" applyAlignment="1" applyProtection="1">
      <alignment vertical="center"/>
    </xf>
    <xf numFmtId="0" fontId="27" fillId="4" borderId="48" xfId="0" applyFont="1" applyFill="1" applyBorder="1" applyAlignment="1">
      <alignment horizontal="center" vertical="center"/>
    </xf>
    <xf numFmtId="0" fontId="27" fillId="4" borderId="48" xfId="0" applyFont="1" applyFill="1" applyBorder="1" applyAlignment="1">
      <alignment horizontal="justify" vertical="center"/>
    </xf>
    <xf numFmtId="4" fontId="22" fillId="4" borderId="48" xfId="0" applyNumberFormat="1" applyFont="1" applyFill="1" applyBorder="1" applyAlignment="1" applyProtection="1">
      <alignment horizontal="center" vertical="center"/>
    </xf>
    <xf numFmtId="0" fontId="24" fillId="4" borderId="48" xfId="0" applyFont="1" applyFill="1" applyBorder="1" applyAlignment="1" applyProtection="1">
      <alignment horizontal="center" vertical="center" wrapText="1"/>
    </xf>
    <xf numFmtId="0" fontId="27" fillId="4" borderId="48" xfId="0" applyFont="1" applyFill="1" applyBorder="1" applyAlignment="1" applyProtection="1">
      <alignment horizontal="right" vertical="center"/>
    </xf>
    <xf numFmtId="4" fontId="22" fillId="4" borderId="48" xfId="0" applyNumberFormat="1" applyFont="1" applyFill="1" applyBorder="1" applyAlignment="1" applyProtection="1">
      <alignment horizontal="center" vertical="center" wrapText="1"/>
    </xf>
    <xf numFmtId="4" fontId="25" fillId="4" borderId="48" xfId="0" applyNumberFormat="1" applyFont="1" applyFill="1" applyBorder="1" applyAlignment="1" applyProtection="1">
      <alignment horizontal="center" vertical="center"/>
    </xf>
    <xf numFmtId="4" fontId="25" fillId="4" borderId="48" xfId="0" applyNumberFormat="1" applyFont="1" applyFill="1" applyBorder="1" applyAlignment="1" applyProtection="1">
      <alignment vertical="center"/>
    </xf>
    <xf numFmtId="4" fontId="25" fillId="4" borderId="48" xfId="0" applyNumberFormat="1" applyFont="1" applyFill="1" applyBorder="1" applyAlignment="1">
      <alignment horizontal="right" vertical="center"/>
    </xf>
    <xf numFmtId="0" fontId="25" fillId="4" borderId="48" xfId="0" applyFont="1" applyFill="1" applyBorder="1" applyAlignment="1">
      <alignment horizontal="center" vertical="center" wrapText="1"/>
    </xf>
    <xf numFmtId="4" fontId="25" fillId="4" borderId="48" xfId="0" applyNumberFormat="1" applyFont="1" applyFill="1" applyBorder="1" applyAlignment="1">
      <alignment vertical="center"/>
    </xf>
    <xf numFmtId="0" fontId="28" fillId="4" borderId="48" xfId="0" applyFont="1" applyFill="1" applyBorder="1"/>
    <xf numFmtId="4" fontId="24" fillId="0" borderId="48" xfId="0" applyNumberFormat="1" applyFont="1" applyFill="1" applyBorder="1" applyAlignment="1">
      <alignment horizontal="right" vertical="center"/>
    </xf>
    <xf numFmtId="165" fontId="28" fillId="4" borderId="48" xfId="1" applyFont="1" applyFill="1" applyBorder="1"/>
    <xf numFmtId="165" fontId="22" fillId="0" borderId="48" xfId="1" applyFont="1" applyFill="1" applyBorder="1" applyAlignment="1">
      <alignment horizontal="right" vertical="center"/>
    </xf>
    <xf numFmtId="165" fontId="25" fillId="4" borderId="48" xfId="1" applyFont="1" applyFill="1" applyBorder="1" applyAlignment="1">
      <alignment horizontal="right" vertical="center"/>
    </xf>
    <xf numFmtId="165" fontId="23" fillId="4" borderId="48" xfId="1" applyFont="1" applyFill="1" applyBorder="1" applyAlignment="1" applyProtection="1">
      <alignment vertical="center"/>
    </xf>
    <xf numFmtId="0" fontId="22" fillId="0" borderId="49" xfId="0" applyFont="1" applyBorder="1" applyAlignment="1" applyProtection="1">
      <alignment horizontal="center" vertical="center" wrapText="1"/>
    </xf>
    <xf numFmtId="4" fontId="22" fillId="0" borderId="49" xfId="0" applyNumberFormat="1" applyFont="1" applyBorder="1" applyAlignment="1" applyProtection="1">
      <alignment horizontal="center" vertical="center" wrapText="1"/>
    </xf>
    <xf numFmtId="17" fontId="23" fillId="0" borderId="50" xfId="0" applyNumberFormat="1" applyFont="1" applyBorder="1" applyAlignment="1" applyProtection="1">
      <alignment horizontal="left"/>
    </xf>
    <xf numFmtId="17" fontId="23" fillId="0" borderId="51" xfId="0" applyNumberFormat="1" applyFont="1" applyBorder="1" applyAlignment="1" applyProtection="1">
      <alignment horizontal="left"/>
    </xf>
    <xf numFmtId="0" fontId="24" fillId="0" borderId="49" xfId="0" applyFont="1" applyBorder="1" applyAlignment="1" applyProtection="1">
      <alignment horizontal="center" vertical="center" wrapText="1"/>
    </xf>
    <xf numFmtId="0" fontId="26" fillId="0" borderId="49" xfId="0" applyFont="1" applyBorder="1" applyAlignment="1" applyProtection="1">
      <alignment horizontal="center"/>
    </xf>
    <xf numFmtId="17" fontId="23" fillId="0" borderId="52" xfId="0" applyNumberFormat="1" applyFont="1" applyBorder="1" applyAlignment="1" applyProtection="1">
      <alignment horizontal="left"/>
    </xf>
    <xf numFmtId="17" fontId="23" fillId="0" borderId="25" xfId="0" applyNumberFormat="1" applyFont="1" applyBorder="1" applyAlignment="1" applyProtection="1">
      <alignment horizontal="left"/>
    </xf>
    <xf numFmtId="17" fontId="23" fillId="0" borderId="53" xfId="0" applyNumberFormat="1" applyFont="1" applyBorder="1" applyAlignment="1" applyProtection="1">
      <alignment horizontal="left"/>
    </xf>
    <xf numFmtId="17" fontId="23" fillId="0" borderId="54" xfId="0" applyNumberFormat="1" applyFont="1" applyBorder="1" applyAlignment="1" applyProtection="1">
      <alignment horizontal="left"/>
    </xf>
    <xf numFmtId="17" fontId="23" fillId="0" borderId="55" xfId="0" applyNumberFormat="1" applyFont="1" applyBorder="1" applyAlignment="1" applyProtection="1">
      <alignment horizontal="left"/>
    </xf>
    <xf numFmtId="17" fontId="23" fillId="0" borderId="56" xfId="0" applyNumberFormat="1" applyFont="1" applyBorder="1" applyAlignment="1" applyProtection="1">
      <alignment horizontal="left"/>
    </xf>
    <xf numFmtId="17" fontId="23" fillId="0" borderId="57" xfId="0" applyNumberFormat="1" applyFont="1" applyBorder="1" applyAlignment="1" applyProtection="1">
      <alignment horizontal="left"/>
    </xf>
    <xf numFmtId="9" fontId="0" fillId="0" borderId="0" xfId="0" applyNumberFormat="1"/>
    <xf numFmtId="164" fontId="0" fillId="0" borderId="0" xfId="0" applyNumberFormat="1" applyFill="1"/>
    <xf numFmtId="0" fontId="22" fillId="0" borderId="49" xfId="0" applyFont="1" applyBorder="1" applyAlignment="1" applyProtection="1">
      <alignment horizontal="center" vertical="center"/>
    </xf>
    <xf numFmtId="0" fontId="22" fillId="0" borderId="48" xfId="0" applyFont="1" applyBorder="1" applyAlignment="1" applyProtection="1">
      <alignment horizontal="center" vertical="center"/>
    </xf>
    <xf numFmtId="0" fontId="32" fillId="0" borderId="58" xfId="0" applyFont="1" applyBorder="1" applyAlignment="1">
      <alignment horizontal="center" vertical="center"/>
    </xf>
    <xf numFmtId="166" fontId="32" fillId="0" borderId="58" xfId="0" applyNumberFormat="1" applyFont="1" applyBorder="1" applyAlignment="1">
      <alignment horizontal="center" vertical="center"/>
    </xf>
    <xf numFmtId="0" fontId="32" fillId="0" borderId="58" xfId="0" applyNumberFormat="1" applyFont="1" applyBorder="1" applyAlignment="1">
      <alignment horizontal="center" vertical="center"/>
    </xf>
    <xf numFmtId="0" fontId="33" fillId="0" borderId="59" xfId="0" applyFont="1" applyBorder="1" applyAlignment="1">
      <alignment horizontal="center"/>
    </xf>
    <xf numFmtId="0" fontId="33" fillId="0" borderId="60" xfId="0" applyFont="1" applyBorder="1"/>
    <xf numFmtId="39" fontId="33" fillId="0" borderId="60" xfId="0" applyNumberFormat="1" applyFont="1" applyBorder="1" applyAlignment="1">
      <alignment horizontal="center"/>
    </xf>
    <xf numFmtId="0" fontId="33" fillId="0" borderId="37" xfId="0" applyFont="1" applyFill="1" applyBorder="1" applyAlignment="1">
      <alignment horizontal="center" vertical="top" wrapText="1"/>
    </xf>
    <xf numFmtId="0" fontId="33" fillId="0" borderId="48" xfId="0" applyFont="1" applyFill="1" applyBorder="1" applyAlignment="1">
      <alignment vertical="top" wrapText="1"/>
    </xf>
    <xf numFmtId="164" fontId="33" fillId="0" borderId="48" xfId="3" applyFont="1" applyFill="1" applyBorder="1" applyAlignment="1">
      <alignment vertical="top" wrapText="1"/>
    </xf>
    <xf numFmtId="10" fontId="33" fillId="0" borderId="48" xfId="2" applyNumberFormat="1" applyFont="1" applyFill="1" applyBorder="1" applyAlignment="1">
      <alignment vertical="top" wrapText="1"/>
    </xf>
    <xf numFmtId="10" fontId="33" fillId="5" borderId="48" xfId="0" applyNumberFormat="1" applyFont="1" applyFill="1" applyBorder="1" applyAlignment="1">
      <alignment horizontal="center" vertical="top" wrapText="1"/>
    </xf>
    <xf numFmtId="10" fontId="33" fillId="0" borderId="48" xfId="0" applyNumberFormat="1" applyFont="1" applyFill="1" applyBorder="1" applyAlignment="1">
      <alignment horizontal="center" vertical="top" wrapText="1"/>
    </xf>
    <xf numFmtId="10" fontId="33" fillId="0" borderId="48" xfId="2" applyNumberFormat="1" applyFont="1" applyFill="1" applyBorder="1" applyAlignment="1">
      <alignment horizontal="center" vertical="top" wrapText="1"/>
    </xf>
    <xf numFmtId="0" fontId="33" fillId="0" borderId="29" xfId="0" applyFont="1" applyFill="1" applyBorder="1" applyAlignment="1">
      <alignment horizontal="center" vertical="top" wrapText="1"/>
    </xf>
    <xf numFmtId="39" fontId="33" fillId="0" borderId="48" xfId="0" applyNumberFormat="1" applyFont="1" applyBorder="1" applyAlignment="1">
      <alignment horizontal="center"/>
    </xf>
    <xf numFmtId="0" fontId="33" fillId="0" borderId="48" xfId="0" applyFont="1" applyBorder="1"/>
    <xf numFmtId="164" fontId="33" fillId="0" borderId="48" xfId="3" applyFont="1" applyBorder="1"/>
    <xf numFmtId="10" fontId="33" fillId="5" borderId="48" xfId="2" applyNumberFormat="1" applyFont="1" applyFill="1" applyBorder="1" applyAlignment="1">
      <alignment horizontal="center" vertical="top" wrapText="1"/>
    </xf>
    <xf numFmtId="39" fontId="33" fillId="0" borderId="48" xfId="0" applyNumberFormat="1" applyFont="1" applyFill="1" applyBorder="1" applyAlignment="1">
      <alignment horizontal="center"/>
    </xf>
    <xf numFmtId="166" fontId="33" fillId="0" borderId="48" xfId="2" applyNumberFormat="1" applyFont="1" applyFill="1" applyBorder="1" applyAlignment="1">
      <alignment horizontal="center" vertical="top" wrapText="1"/>
    </xf>
    <xf numFmtId="0" fontId="32" fillId="0" borderId="48" xfId="0" applyFont="1" applyBorder="1"/>
    <xf numFmtId="164" fontId="32" fillId="0" borderId="48" xfId="3" applyFont="1" applyBorder="1"/>
    <xf numFmtId="10" fontId="32" fillId="0" borderId="48" xfId="2" applyNumberFormat="1" applyFont="1" applyBorder="1"/>
    <xf numFmtId="0" fontId="32" fillId="0" borderId="48" xfId="0" applyFont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33" fillId="5" borderId="48" xfId="0" applyFont="1" applyFill="1" applyBorder="1"/>
    <xf numFmtId="0" fontId="33" fillId="5" borderId="48" xfId="0" applyFont="1" applyFill="1" applyBorder="1" applyAlignment="1">
      <alignment horizontal="right"/>
    </xf>
    <xf numFmtId="166" fontId="33" fillId="5" borderId="48" xfId="0" applyNumberFormat="1" applyFont="1" applyFill="1" applyBorder="1" applyAlignment="1">
      <alignment horizontal="center"/>
    </xf>
    <xf numFmtId="39" fontId="33" fillId="5" borderId="48" xfId="0" applyNumberFormat="1" applyFont="1" applyFill="1" applyBorder="1" applyAlignment="1">
      <alignment horizontal="center"/>
    </xf>
    <xf numFmtId="4" fontId="33" fillId="5" borderId="48" xfId="0" applyNumberFormat="1" applyFont="1" applyFill="1" applyBorder="1"/>
    <xf numFmtId="164" fontId="33" fillId="5" borderId="48" xfId="3" applyFont="1" applyFill="1" applyBorder="1" applyAlignment="1">
      <alignment horizontal="center"/>
    </xf>
    <xf numFmtId="10" fontId="33" fillId="5" borderId="48" xfId="2" applyNumberFormat="1" applyFont="1" applyFill="1" applyBorder="1" applyAlignment="1">
      <alignment horizontal="center"/>
    </xf>
    <xf numFmtId="0" fontId="33" fillId="5" borderId="58" xfId="0" applyFont="1" applyFill="1" applyBorder="1"/>
    <xf numFmtId="4" fontId="33" fillId="5" borderId="58" xfId="0" applyNumberFormat="1" applyFont="1" applyFill="1" applyBorder="1"/>
    <xf numFmtId="164" fontId="33" fillId="5" borderId="58" xfId="3" applyFont="1" applyFill="1" applyBorder="1" applyAlignment="1">
      <alignment horizontal="center"/>
    </xf>
    <xf numFmtId="10" fontId="34" fillId="5" borderId="58" xfId="0" applyNumberFormat="1" applyFont="1" applyFill="1" applyBorder="1"/>
    <xf numFmtId="10" fontId="34" fillId="5" borderId="58" xfId="0" applyNumberFormat="1" applyFont="1" applyFill="1" applyBorder="1" applyAlignment="1">
      <alignment horizontal="center"/>
    </xf>
    <xf numFmtId="44" fontId="0" fillId="0" borderId="0" xfId="0" applyNumberFormat="1"/>
    <xf numFmtId="44" fontId="4" fillId="0" borderId="0" xfId="0" applyNumberFormat="1" applyFont="1" applyProtection="1"/>
    <xf numFmtId="0" fontId="20" fillId="0" borderId="0" xfId="0" applyFont="1"/>
    <xf numFmtId="0" fontId="0" fillId="0" borderId="0" xfId="0" applyFill="1" applyBorder="1"/>
    <xf numFmtId="0" fontId="0" fillId="8" borderId="0" xfId="0" applyFill="1"/>
    <xf numFmtId="0" fontId="0" fillId="7" borderId="0" xfId="0" applyFill="1"/>
    <xf numFmtId="0" fontId="20" fillId="8" borderId="0" xfId="0" applyFont="1" applyFill="1"/>
    <xf numFmtId="0" fontId="28" fillId="8" borderId="0" xfId="0" applyFont="1" applyFill="1"/>
    <xf numFmtId="2" fontId="2" fillId="0" borderId="48" xfId="4" applyNumberFormat="1" applyFont="1" applyFill="1" applyBorder="1" applyAlignment="1">
      <alignment horizontal="center" vertical="center" wrapText="1"/>
    </xf>
    <xf numFmtId="0" fontId="2" fillId="0" borderId="0" xfId="4" applyFont="1"/>
    <xf numFmtId="0" fontId="37" fillId="0" borderId="0" xfId="5" applyFont="1" applyAlignment="1">
      <alignment vertical="center"/>
    </xf>
    <xf numFmtId="0" fontId="28" fillId="0" borderId="1" xfId="5" applyFont="1" applyBorder="1" applyAlignment="1" applyProtection="1">
      <alignment vertical="center"/>
    </xf>
    <xf numFmtId="0" fontId="2" fillId="0" borderId="2" xfId="5" applyFont="1" applyBorder="1" applyAlignment="1" applyProtection="1">
      <alignment horizontal="center" vertical="center"/>
    </xf>
    <xf numFmtId="0" fontId="38" fillId="0" borderId="84" xfId="5" applyFont="1" applyFill="1" applyBorder="1" applyAlignment="1">
      <alignment horizontal="center" wrapText="1"/>
    </xf>
    <xf numFmtId="0" fontId="39" fillId="0" borderId="0" xfId="4" applyFont="1"/>
    <xf numFmtId="0" fontId="39" fillId="9" borderId="0" xfId="4" applyFont="1" applyFill="1"/>
    <xf numFmtId="167" fontId="39" fillId="0" borderId="0" xfId="4" applyNumberFormat="1" applyFont="1"/>
    <xf numFmtId="0" fontId="40" fillId="0" borderId="0" xfId="4" applyFont="1"/>
    <xf numFmtId="0" fontId="1" fillId="0" borderId="0" xfId="5"/>
    <xf numFmtId="4" fontId="28" fillId="6" borderId="10" xfId="0" applyNumberFormat="1" applyFont="1" applyFill="1" applyBorder="1" applyAlignment="1" applyProtection="1">
      <alignment horizontal="center" vertical="center" wrapText="1"/>
    </xf>
    <xf numFmtId="0" fontId="35" fillId="6" borderId="10" xfId="0" applyFont="1" applyFill="1" applyBorder="1" applyAlignment="1" applyProtection="1">
      <alignment horizontal="center" vertical="center" wrapText="1"/>
    </xf>
    <xf numFmtId="0" fontId="28" fillId="6" borderId="1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11" borderId="0" xfId="0" applyFill="1"/>
    <xf numFmtId="0" fontId="2" fillId="11" borderId="0" xfId="0" applyFont="1" applyFill="1"/>
    <xf numFmtId="0" fontId="20" fillId="11" borderId="0" xfId="0" applyFont="1" applyFill="1"/>
    <xf numFmtId="0" fontId="2" fillId="11" borderId="0" xfId="0" applyFont="1" applyFill="1" applyAlignment="1">
      <alignment vertical="center"/>
    </xf>
    <xf numFmtId="0" fontId="28" fillId="11" borderId="0" xfId="0" applyFont="1" applyFill="1" applyAlignment="1">
      <alignment vertical="center"/>
    </xf>
    <xf numFmtId="49" fontId="2" fillId="0" borderId="89" xfId="0" applyNumberFormat="1" applyFont="1" applyFill="1" applyBorder="1" applyAlignment="1">
      <alignment horizontal="center" vertical="center"/>
    </xf>
    <xf numFmtId="0" fontId="40" fillId="0" borderId="0" xfId="0" applyFont="1"/>
    <xf numFmtId="0" fontId="46" fillId="0" borderId="0" xfId="0" applyFont="1"/>
    <xf numFmtId="0" fontId="41" fillId="0" borderId="0" xfId="0" applyFont="1"/>
    <xf numFmtId="171" fontId="41" fillId="0" borderId="0" xfId="0" applyNumberFormat="1" applyFont="1"/>
    <xf numFmtId="0" fontId="2" fillId="0" borderId="23" xfId="5" applyFont="1" applyBorder="1" applyAlignment="1" applyProtection="1">
      <alignment vertical="center" wrapText="1"/>
    </xf>
    <xf numFmtId="0" fontId="2" fillId="0" borderId="70" xfId="5" applyFont="1" applyBorder="1" applyAlignment="1" applyProtection="1">
      <alignment vertical="center" wrapText="1"/>
    </xf>
    <xf numFmtId="0" fontId="2" fillId="0" borderId="80" xfId="5" applyFont="1" applyBorder="1" applyAlignment="1" applyProtection="1">
      <alignment vertical="center" wrapText="1"/>
    </xf>
    <xf numFmtId="0" fontId="28" fillId="0" borderId="48" xfId="5" applyFont="1" applyBorder="1" applyAlignment="1" applyProtection="1">
      <alignment vertical="center"/>
    </xf>
    <xf numFmtId="0" fontId="38" fillId="0" borderId="2" xfId="5" applyFont="1" applyFill="1" applyBorder="1" applyAlignment="1">
      <alignment horizontal="right" wrapText="1"/>
    </xf>
    <xf numFmtId="17" fontId="51" fillId="0" borderId="80" xfId="5" applyNumberFormat="1" applyFont="1" applyFill="1" applyBorder="1" applyAlignment="1">
      <alignment horizontal="left" wrapText="1"/>
    </xf>
    <xf numFmtId="17" fontId="2" fillId="0" borderId="80" xfId="5" applyNumberFormat="1" applyFont="1" applyFill="1" applyBorder="1" applyAlignment="1">
      <alignment horizontal="left" wrapText="1"/>
    </xf>
    <xf numFmtId="0" fontId="28" fillId="0" borderId="2" xfId="5" applyFont="1" applyFill="1" applyBorder="1" applyAlignment="1">
      <alignment horizontal="center" wrapText="1"/>
    </xf>
    <xf numFmtId="0" fontId="28" fillId="0" borderId="84" xfId="5" applyFont="1" applyFill="1" applyBorder="1" applyAlignment="1">
      <alignment horizontal="center" wrapText="1"/>
    </xf>
    <xf numFmtId="171" fontId="46" fillId="0" borderId="0" xfId="0" applyNumberFormat="1" applyFont="1"/>
    <xf numFmtId="0" fontId="28" fillId="11" borderId="49" xfId="4" applyFont="1" applyFill="1" applyBorder="1" applyAlignment="1">
      <alignment horizontal="left" vertical="center"/>
    </xf>
    <xf numFmtId="0" fontId="28" fillId="11" borderId="48" xfId="4" applyFont="1" applyFill="1" applyBorder="1" applyAlignment="1">
      <alignment horizontal="left" vertical="center"/>
    </xf>
    <xf numFmtId="0" fontId="28" fillId="11" borderId="58" xfId="4" applyFont="1" applyFill="1" applyBorder="1" applyAlignment="1">
      <alignment horizontal="left" vertical="center" wrapText="1"/>
    </xf>
    <xf numFmtId="0" fontId="2" fillId="9" borderId="48" xfId="4" applyFont="1" applyFill="1" applyBorder="1" applyAlignment="1">
      <alignment vertical="center" wrapText="1"/>
    </xf>
    <xf numFmtId="0" fontId="2" fillId="9" borderId="48" xfId="4" applyFont="1" applyFill="1" applyBorder="1" applyAlignment="1">
      <alignment horizontal="center" vertical="center" wrapText="1"/>
    </xf>
    <xf numFmtId="167" fontId="2" fillId="9" borderId="48" xfId="4" applyNumberFormat="1" applyFont="1" applyFill="1" applyBorder="1" applyAlignment="1">
      <alignment horizontal="center" vertical="center" wrapText="1"/>
    </xf>
    <xf numFmtId="2" fontId="2" fillId="9" borderId="48" xfId="4" applyNumberFormat="1" applyFont="1" applyFill="1" applyBorder="1" applyAlignment="1">
      <alignment horizontal="center" vertical="center" wrapText="1"/>
    </xf>
    <xf numFmtId="0" fontId="28" fillId="11" borderId="48" xfId="4" applyFont="1" applyFill="1" applyBorder="1" applyAlignment="1">
      <alignment horizontal="right" vertical="center" wrapText="1"/>
    </xf>
    <xf numFmtId="2" fontId="2" fillId="11" borderId="48" xfId="4" applyNumberFormat="1" applyFont="1" applyFill="1" applyBorder="1" applyAlignment="1">
      <alignment horizontal="right" vertical="center" wrapText="1"/>
    </xf>
    <xf numFmtId="0" fontId="28" fillId="11" borderId="58" xfId="4" applyFont="1" applyFill="1" applyBorder="1" applyAlignment="1">
      <alignment horizontal="right" vertical="center" wrapText="1"/>
    </xf>
    <xf numFmtId="2" fontId="2" fillId="11" borderId="58" xfId="4" applyNumberFormat="1" applyFont="1" applyFill="1" applyBorder="1" applyAlignment="1">
      <alignment vertical="center"/>
    </xf>
    <xf numFmtId="1" fontId="2" fillId="9" borderId="48" xfId="4" applyNumberFormat="1" applyFont="1" applyFill="1" applyBorder="1" applyAlignment="1">
      <alignment horizontal="center" vertical="center" wrapText="1"/>
    </xf>
    <xf numFmtId="0" fontId="2" fillId="0" borderId="3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2" fillId="0" borderId="4" xfId="4" applyFont="1" applyBorder="1" applyAlignment="1">
      <alignment vertical="center"/>
    </xf>
    <xf numFmtId="0" fontId="28" fillId="11" borderId="60" xfId="4" applyFont="1" applyFill="1" applyBorder="1" applyAlignment="1">
      <alignment vertical="center"/>
    </xf>
    <xf numFmtId="0" fontId="2" fillId="11" borderId="60" xfId="4" applyFont="1" applyFill="1" applyBorder="1" applyAlignment="1">
      <alignment vertical="center"/>
    </xf>
    <xf numFmtId="0" fontId="2" fillId="11" borderId="86" xfId="4" applyFont="1" applyFill="1" applyBorder="1" applyAlignment="1">
      <alignment vertical="center"/>
    </xf>
    <xf numFmtId="0" fontId="2" fillId="0" borderId="0" xfId="4" applyFont="1" applyBorder="1"/>
    <xf numFmtId="0" fontId="28" fillId="9" borderId="48" xfId="4" applyFont="1" applyFill="1" applyBorder="1" applyAlignment="1">
      <alignment vertical="center" wrapText="1"/>
    </xf>
    <xf numFmtId="0" fontId="28" fillId="9" borderId="48" xfId="4" applyFont="1" applyFill="1" applyBorder="1" applyAlignment="1">
      <alignment horizontal="center" vertical="center" wrapText="1"/>
    </xf>
    <xf numFmtId="0" fontId="28" fillId="9" borderId="85" xfId="4" applyFont="1" applyFill="1" applyBorder="1" applyAlignment="1">
      <alignment horizontal="center" vertical="center" wrapText="1"/>
    </xf>
    <xf numFmtId="10" fontId="28" fillId="9" borderId="48" xfId="6" applyNumberFormat="1" applyFont="1" applyFill="1" applyBorder="1" applyAlignment="1">
      <alignment horizontal="right" vertical="center" wrapText="1"/>
    </xf>
    <xf numFmtId="2" fontId="28" fillId="9" borderId="85" xfId="4" applyNumberFormat="1" applyFont="1" applyFill="1" applyBorder="1" applyAlignment="1">
      <alignment horizontal="right" vertical="center" wrapText="1"/>
    </xf>
    <xf numFmtId="0" fontId="28" fillId="9" borderId="48" xfId="4" applyFont="1" applyFill="1" applyBorder="1" applyAlignment="1">
      <alignment horizontal="right" vertical="center" wrapText="1"/>
    </xf>
    <xf numFmtId="0" fontId="28" fillId="9" borderId="85" xfId="4" applyFont="1" applyFill="1" applyBorder="1" applyAlignment="1">
      <alignment horizontal="right" vertical="center" wrapText="1"/>
    </xf>
    <xf numFmtId="0" fontId="28" fillId="9" borderId="48" xfId="4" applyFont="1" applyFill="1" applyBorder="1" applyAlignment="1">
      <alignment horizontal="left" vertical="center" wrapText="1"/>
    </xf>
    <xf numFmtId="0" fontId="28" fillId="10" borderId="36" xfId="4" applyFont="1" applyFill="1" applyBorder="1" applyAlignment="1">
      <alignment vertical="center" wrapText="1"/>
    </xf>
    <xf numFmtId="43" fontId="2" fillId="0" borderId="0" xfId="4" applyNumberFormat="1" applyFont="1" applyBorder="1" applyAlignment="1">
      <alignment vertical="center"/>
    </xf>
    <xf numFmtId="169" fontId="28" fillId="10" borderId="31" xfId="7" applyNumberFormat="1" applyFont="1" applyFill="1" applyBorder="1" applyAlignment="1">
      <alignment vertical="center" wrapText="1"/>
    </xf>
    <xf numFmtId="169" fontId="28" fillId="10" borderId="34" xfId="7" applyNumberFormat="1" applyFont="1" applyFill="1" applyBorder="1" applyAlignment="1">
      <alignment vertical="center" wrapText="1"/>
    </xf>
    <xf numFmtId="168" fontId="2" fillId="6" borderId="48" xfId="4" applyNumberFormat="1" applyFont="1" applyFill="1" applyBorder="1" applyAlignment="1">
      <alignment horizontal="center" vertical="center" wrapText="1"/>
    </xf>
    <xf numFmtId="0" fontId="2" fillId="9" borderId="55" xfId="4" applyFont="1" applyFill="1" applyBorder="1" applyAlignment="1">
      <alignment vertical="center" wrapText="1"/>
    </xf>
    <xf numFmtId="0" fontId="2" fillId="9" borderId="56" xfId="4" applyFont="1" applyFill="1" applyBorder="1" applyAlignment="1">
      <alignment horizontal="center" vertical="center" wrapText="1"/>
    </xf>
    <xf numFmtId="0" fontId="2" fillId="9" borderId="56" xfId="4" applyFont="1" applyFill="1" applyBorder="1" applyAlignment="1">
      <alignment horizontal="right" vertical="center" wrapText="1"/>
    </xf>
    <xf numFmtId="0" fontId="2" fillId="9" borderId="88" xfId="4" applyFont="1" applyFill="1" applyBorder="1" applyAlignment="1">
      <alignment horizontal="right" vertical="center" wrapText="1"/>
    </xf>
    <xf numFmtId="0" fontId="2" fillId="9" borderId="55" xfId="4" applyFont="1" applyFill="1" applyBorder="1" applyAlignment="1">
      <alignment vertical="center"/>
    </xf>
    <xf numFmtId="0" fontId="2" fillId="9" borderId="56" xfId="4" applyFont="1" applyFill="1" applyBorder="1" applyAlignment="1">
      <alignment vertical="center"/>
    </xf>
    <xf numFmtId="0" fontId="2" fillId="9" borderId="88" xfId="4" applyFont="1" applyFill="1" applyBorder="1" applyAlignment="1">
      <alignment vertical="center"/>
    </xf>
    <xf numFmtId="0" fontId="2" fillId="0" borderId="6" xfId="4" applyFont="1" applyBorder="1" applyAlignment="1">
      <alignment vertical="center"/>
    </xf>
    <xf numFmtId="0" fontId="2" fillId="0" borderId="9" xfId="4" applyFont="1" applyBorder="1" applyAlignment="1">
      <alignment vertical="center"/>
    </xf>
    <xf numFmtId="0" fontId="2" fillId="0" borderId="7" xfId="4" applyFont="1" applyBorder="1" applyAlignment="1">
      <alignment vertical="center"/>
    </xf>
    <xf numFmtId="10" fontId="2" fillId="0" borderId="89" xfId="2" applyNumberFormat="1" applyFont="1" applyFill="1" applyBorder="1" applyAlignment="1">
      <alignment horizontal="center" vertical="center"/>
    </xf>
    <xf numFmtId="0" fontId="59" fillId="0" borderId="0" xfId="25"/>
    <xf numFmtId="0" fontId="61" fillId="16" borderId="3" xfId="25" applyFont="1" applyFill="1" applyBorder="1" applyAlignment="1">
      <alignment vertical="center"/>
    </xf>
    <xf numFmtId="0" fontId="61" fillId="16" borderId="0" xfId="25" applyFont="1" applyFill="1" applyBorder="1" applyAlignment="1">
      <alignment vertical="center"/>
    </xf>
    <xf numFmtId="174" fontId="61" fillId="16" borderId="0" xfId="25" applyNumberFormat="1" applyFont="1" applyFill="1" applyBorder="1" applyAlignment="1">
      <alignment vertical="center"/>
    </xf>
    <xf numFmtId="0" fontId="61" fillId="16" borderId="0" xfId="25" applyFont="1" applyFill="1" applyBorder="1" applyAlignment="1">
      <alignment horizontal="center" vertical="center"/>
    </xf>
    <xf numFmtId="0" fontId="61" fillId="16" borderId="4" xfId="25" applyFont="1" applyFill="1" applyBorder="1" applyAlignment="1">
      <alignment vertical="center"/>
    </xf>
    <xf numFmtId="0" fontId="62" fillId="16" borderId="3" xfId="25" applyFont="1" applyFill="1" applyBorder="1" applyAlignment="1">
      <alignment horizontal="left" vertical="center"/>
    </xf>
    <xf numFmtId="0" fontId="62" fillId="16" borderId="0" xfId="25" applyFont="1" applyFill="1" applyBorder="1" applyAlignment="1">
      <alignment horizontal="left" vertical="center"/>
    </xf>
    <xf numFmtId="174" fontId="63" fillId="16" borderId="0" xfId="25" applyNumberFormat="1" applyFont="1" applyFill="1" applyBorder="1" applyAlignment="1">
      <alignment horizontal="left" vertical="center"/>
    </xf>
    <xf numFmtId="0" fontId="63" fillId="16" borderId="0" xfId="25" applyFont="1" applyFill="1" applyBorder="1" applyAlignment="1">
      <alignment horizontal="center" vertical="center"/>
    </xf>
    <xf numFmtId="0" fontId="62" fillId="16" borderId="4" xfId="25" applyFont="1" applyFill="1" applyBorder="1" applyAlignment="1">
      <alignment horizontal="left" vertical="center"/>
    </xf>
    <xf numFmtId="174" fontId="55" fillId="0" borderId="91" xfId="25" applyNumberFormat="1" applyFont="1" applyBorder="1" applyAlignment="1">
      <alignment horizontal="center" vertical="center"/>
    </xf>
    <xf numFmtId="166" fontId="55" fillId="0" borderId="91" xfId="25" applyNumberFormat="1" applyFont="1" applyBorder="1" applyAlignment="1">
      <alignment horizontal="center" vertical="center"/>
    </xf>
    <xf numFmtId="175" fontId="55" fillId="0" borderId="91" xfId="25" applyNumberFormat="1" applyFont="1" applyBorder="1" applyAlignment="1">
      <alignment horizontal="center" vertical="center"/>
    </xf>
    <xf numFmtId="0" fontId="55" fillId="0" borderId="94" xfId="25" applyFont="1" applyBorder="1" applyAlignment="1">
      <alignment horizontal="center" vertical="center"/>
    </xf>
    <xf numFmtId="0" fontId="55" fillId="0" borderId="90" xfId="25" applyFont="1" applyBorder="1" applyAlignment="1">
      <alignment horizontal="center" vertical="center"/>
    </xf>
    <xf numFmtId="174" fontId="55" fillId="0" borderId="90" xfId="25" applyNumberFormat="1" applyFont="1" applyBorder="1" applyAlignment="1">
      <alignment horizontal="center" vertical="center"/>
    </xf>
    <xf numFmtId="166" fontId="55" fillId="0" borderId="90" xfId="25" applyNumberFormat="1" applyFont="1" applyBorder="1" applyAlignment="1">
      <alignment horizontal="center" vertical="center"/>
    </xf>
    <xf numFmtId="175" fontId="55" fillId="0" borderId="90" xfId="25" applyNumberFormat="1" applyFont="1" applyBorder="1" applyAlignment="1">
      <alignment horizontal="center" vertical="center"/>
    </xf>
    <xf numFmtId="175" fontId="55" fillId="0" borderId="93" xfId="25" applyNumberFormat="1" applyFont="1" applyBorder="1" applyAlignment="1">
      <alignment horizontal="center" vertical="center"/>
    </xf>
    <xf numFmtId="0" fontId="57" fillId="0" borderId="94" xfId="25" applyFont="1" applyBorder="1" applyAlignment="1">
      <alignment horizontal="left" vertical="center" wrapText="1"/>
    </xf>
    <xf numFmtId="0" fontId="57" fillId="0" borderId="90" xfId="25" applyFont="1" applyBorder="1" applyAlignment="1">
      <alignment horizontal="left" vertical="center" wrapText="1"/>
    </xf>
    <xf numFmtId="174" fontId="56" fillId="0" borderId="90" xfId="25" applyNumberFormat="1" applyFont="1" applyBorder="1" applyAlignment="1">
      <alignment horizontal="left" vertical="center" wrapText="1"/>
    </xf>
    <xf numFmtId="0" fontId="56" fillId="0" borderId="90" xfId="25" applyFont="1" applyBorder="1" applyAlignment="1">
      <alignment horizontal="left" vertical="center" wrapText="1"/>
    </xf>
    <xf numFmtId="0" fontId="57" fillId="0" borderId="93" xfId="25" applyFont="1" applyBorder="1" applyAlignment="1">
      <alignment horizontal="left" vertical="center" wrapText="1"/>
    </xf>
    <xf numFmtId="0" fontId="57" fillId="0" borderId="91" xfId="25" applyFont="1" applyBorder="1" applyAlignment="1">
      <alignment horizontal="center" vertical="center" wrapText="1"/>
    </xf>
    <xf numFmtId="0" fontId="57" fillId="0" borderId="91" xfId="25" applyFont="1" applyBorder="1" applyAlignment="1">
      <alignment vertical="center" wrapText="1"/>
    </xf>
    <xf numFmtId="174" fontId="56" fillId="0" borderId="91" xfId="26" applyNumberFormat="1" applyFont="1" applyBorder="1" applyAlignment="1" applyProtection="1">
      <alignment vertical="center" wrapText="1"/>
    </xf>
    <xf numFmtId="10" fontId="56" fillId="0" borderId="91" xfId="27" applyNumberFormat="1" applyFont="1" applyBorder="1" applyAlignment="1" applyProtection="1">
      <alignment horizontal="center" vertical="center" wrapText="1"/>
    </xf>
    <xf numFmtId="4" fontId="57" fillId="0" borderId="91" xfId="25" applyNumberFormat="1" applyFont="1" applyBorder="1" applyAlignment="1">
      <alignment horizontal="center" vertical="center" wrapText="1"/>
    </xf>
    <xf numFmtId="4" fontId="59" fillId="0" borderId="0" xfId="25" applyNumberFormat="1"/>
    <xf numFmtId="10" fontId="57" fillId="17" borderId="91" xfId="27" applyNumberFormat="1" applyFont="1" applyFill="1" applyBorder="1" applyAlignment="1" applyProtection="1">
      <alignment horizontal="center" vertical="center"/>
    </xf>
    <xf numFmtId="10" fontId="57" fillId="0" borderId="91" xfId="27" applyNumberFormat="1" applyFont="1" applyBorder="1" applyAlignment="1" applyProtection="1">
      <alignment horizontal="center" vertical="center"/>
    </xf>
    <xf numFmtId="10" fontId="59" fillId="0" borderId="0" xfId="25" applyNumberFormat="1"/>
    <xf numFmtId="10" fontId="57" fillId="18" borderId="91" xfId="27" applyNumberFormat="1" applyFont="1" applyFill="1" applyBorder="1" applyAlignment="1" applyProtection="1">
      <alignment horizontal="center" vertical="center"/>
    </xf>
    <xf numFmtId="173" fontId="59" fillId="0" borderId="0" xfId="25" applyNumberFormat="1"/>
    <xf numFmtId="0" fontId="57" fillId="0" borderId="91" xfId="25" applyFont="1" applyBorder="1" applyAlignment="1">
      <alignment vertical="center"/>
    </xf>
    <xf numFmtId="0" fontId="55" fillId="0" borderId="91" xfId="25" applyFont="1" applyBorder="1" applyAlignment="1">
      <alignment horizontal="right" vertical="center"/>
    </xf>
    <xf numFmtId="174" fontId="55" fillId="0" borderId="91" xfId="26" applyNumberFormat="1" applyFont="1" applyBorder="1" applyAlignment="1" applyProtection="1">
      <alignment vertical="center"/>
    </xf>
    <xf numFmtId="10" fontId="55" fillId="0" borderId="91" xfId="27" applyNumberFormat="1" applyFont="1" applyBorder="1" applyAlignment="1" applyProtection="1">
      <alignment horizontal="center" vertical="center"/>
    </xf>
    <xf numFmtId="10" fontId="55" fillId="0" borderId="91" xfId="27" applyNumberFormat="1" applyFont="1" applyBorder="1" applyAlignment="1" applyProtection="1">
      <alignment vertical="center"/>
    </xf>
    <xf numFmtId="166" fontId="56" fillId="19" borderId="91" xfId="25" applyNumberFormat="1" applyFont="1" applyFill="1" applyBorder="1" applyAlignment="1">
      <alignment horizontal="center" vertical="center"/>
    </xf>
    <xf numFmtId="176" fontId="57" fillId="19" borderId="91" xfId="25" applyNumberFormat="1" applyFont="1" applyFill="1" applyBorder="1" applyAlignment="1">
      <alignment horizontal="center" vertical="center"/>
    </xf>
    <xf numFmtId="170" fontId="56" fillId="19" borderId="91" xfId="26" applyNumberFormat="1" applyFont="1" applyFill="1" applyBorder="1" applyAlignment="1" applyProtection="1">
      <alignment horizontal="center" vertical="center"/>
    </xf>
    <xf numFmtId="10" fontId="57" fillId="19" borderId="91" xfId="27" applyNumberFormat="1" applyFont="1" applyFill="1" applyBorder="1" applyAlignment="1" applyProtection="1">
      <alignment horizontal="center" vertical="center"/>
    </xf>
    <xf numFmtId="170" fontId="56" fillId="20" borderId="91" xfId="26" applyNumberFormat="1" applyFont="1" applyFill="1" applyBorder="1" applyAlignment="1" applyProtection="1">
      <alignment horizontal="center" vertical="center"/>
    </xf>
    <xf numFmtId="9" fontId="56" fillId="20" borderId="91" xfId="27" applyFont="1" applyFill="1" applyBorder="1" applyAlignment="1" applyProtection="1">
      <alignment horizontal="center" vertical="center"/>
    </xf>
    <xf numFmtId="10" fontId="57" fillId="20" borderId="91" xfId="27" applyNumberFormat="1" applyFont="1" applyFill="1" applyBorder="1" applyAlignment="1" applyProtection="1">
      <alignment horizontal="center" vertical="center"/>
    </xf>
    <xf numFmtId="10" fontId="55" fillId="20" borderId="91" xfId="27" applyNumberFormat="1" applyFont="1" applyFill="1" applyBorder="1" applyAlignment="1" applyProtection="1">
      <alignment horizontal="center" vertical="center"/>
    </xf>
    <xf numFmtId="174" fontId="64" fillId="0" borderId="0" xfId="25" applyNumberFormat="1" applyFont="1"/>
    <xf numFmtId="0" fontId="64" fillId="0" borderId="0" xfId="25" applyFont="1" applyAlignment="1">
      <alignment horizontal="center"/>
    </xf>
    <xf numFmtId="0" fontId="2" fillId="0" borderId="0" xfId="4"/>
    <xf numFmtId="10" fontId="2" fillId="0" borderId="83" xfId="5" applyNumberFormat="1" applyFont="1" applyFill="1" applyBorder="1" applyAlignment="1">
      <alignment horizontal="left" wrapText="1"/>
    </xf>
    <xf numFmtId="10" fontId="51" fillId="0" borderId="83" xfId="5" applyNumberFormat="1" applyFont="1" applyFill="1" applyBorder="1" applyAlignment="1">
      <alignment horizontal="left" wrapText="1"/>
    </xf>
    <xf numFmtId="0" fontId="28" fillId="0" borderId="94" xfId="0" applyFont="1" applyFill="1" applyBorder="1" applyAlignment="1" applyProtection="1">
      <alignment horizontal="left" vertical="center"/>
    </xf>
    <xf numFmtId="0" fontId="28" fillId="0" borderId="90" xfId="0" applyFont="1" applyFill="1" applyBorder="1" applyAlignment="1" applyProtection="1">
      <alignment horizontal="left" vertical="center"/>
    </xf>
    <xf numFmtId="0" fontId="28" fillId="0" borderId="93" xfId="0" applyFont="1" applyFill="1" applyBorder="1" applyAlignment="1" applyProtection="1">
      <alignment horizontal="left" vertical="center"/>
    </xf>
    <xf numFmtId="0" fontId="20" fillId="0" borderId="92" xfId="0" applyFont="1" applyBorder="1"/>
    <xf numFmtId="0" fontId="20" fillId="0" borderId="96" xfId="0" applyFont="1" applyBorder="1"/>
    <xf numFmtId="0" fontId="0" fillId="0" borderId="96" xfId="0" applyBorder="1"/>
    <xf numFmtId="0" fontId="0" fillId="0" borderId="97" xfId="0" applyBorder="1"/>
    <xf numFmtId="0" fontId="42" fillId="2" borderId="92" xfId="0" applyFont="1" applyFill="1" applyBorder="1" applyAlignment="1" applyProtection="1">
      <alignment vertical="top" wrapText="1"/>
    </xf>
    <xf numFmtId="0" fontId="42" fillId="2" borderId="96" xfId="0" applyFont="1" applyFill="1" applyBorder="1" applyAlignment="1" applyProtection="1">
      <alignment vertical="top" wrapText="1"/>
    </xf>
    <xf numFmtId="0" fontId="42" fillId="2" borderId="97" xfId="0" applyFont="1" applyFill="1" applyBorder="1" applyAlignment="1" applyProtection="1">
      <alignment vertical="top" wrapText="1"/>
    </xf>
    <xf numFmtId="0" fontId="28" fillId="0" borderId="93" xfId="0" applyFont="1" applyFill="1" applyBorder="1" applyAlignment="1">
      <alignment horizontal="right" vertical="top"/>
    </xf>
    <xf numFmtId="0" fontId="35" fillId="0" borderId="94" xfId="0" applyFont="1" applyFill="1" applyBorder="1" applyAlignment="1" applyProtection="1">
      <alignment horizontal="center" vertical="center" wrapText="1"/>
    </xf>
    <xf numFmtId="0" fontId="35" fillId="0" borderId="90" xfId="0" applyFont="1" applyFill="1" applyBorder="1" applyAlignment="1" applyProtection="1">
      <alignment horizontal="center" vertical="center" wrapText="1"/>
    </xf>
    <xf numFmtId="0" fontId="28" fillId="0" borderId="90" xfId="0" applyFont="1" applyFill="1" applyBorder="1" applyAlignment="1" applyProtection="1">
      <alignment horizontal="center" vertical="center" wrapText="1"/>
    </xf>
    <xf numFmtId="4" fontId="28" fillId="0" borderId="90" xfId="0" applyNumberFormat="1" applyFont="1" applyFill="1" applyBorder="1" applyAlignment="1" applyProtection="1">
      <alignment horizontal="center" vertical="center" wrapText="1"/>
    </xf>
    <xf numFmtId="4" fontId="28" fillId="0" borderId="93" xfId="0" applyNumberFormat="1" applyFont="1" applyFill="1" applyBorder="1" applyAlignment="1" applyProtection="1">
      <alignment horizontal="center" vertical="center" wrapText="1"/>
    </xf>
    <xf numFmtId="0" fontId="28" fillId="11" borderId="91" xfId="0" applyFont="1" applyFill="1" applyBorder="1" applyAlignment="1">
      <alignment horizontal="center" vertical="center"/>
    </xf>
    <xf numFmtId="0" fontId="28" fillId="11" borderId="91" xfId="0" applyFont="1" applyFill="1" applyBorder="1" applyAlignment="1">
      <alignment vertical="center"/>
    </xf>
    <xf numFmtId="0" fontId="28" fillId="11" borderId="91" xfId="0" applyFont="1" applyFill="1" applyBorder="1" applyAlignment="1">
      <alignment horizontal="justify" vertical="center"/>
    </xf>
    <xf numFmtId="0" fontId="28" fillId="11" borderId="91" xfId="0" applyFont="1" applyFill="1" applyBorder="1" applyAlignment="1"/>
    <xf numFmtId="4" fontId="28" fillId="11" borderId="91" xfId="1" applyNumberFormat="1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49" fontId="2" fillId="0" borderId="91" xfId="0" applyNumberFormat="1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left" vertical="center" wrapText="1"/>
    </xf>
    <xf numFmtId="4" fontId="2" fillId="0" borderId="91" xfId="0" applyNumberFormat="1" applyFont="1" applyFill="1" applyBorder="1" applyAlignment="1" applyProtection="1">
      <alignment horizontal="center" vertical="center"/>
    </xf>
    <xf numFmtId="4" fontId="2" fillId="0" borderId="91" xfId="0" applyNumberFormat="1" applyFont="1" applyFill="1" applyBorder="1" applyAlignment="1">
      <alignment horizontal="center" vertical="center"/>
    </xf>
    <xf numFmtId="4" fontId="2" fillId="0" borderId="91" xfId="0" applyNumberFormat="1" applyFont="1" applyBorder="1" applyAlignment="1">
      <alignment horizontal="center" vertical="center"/>
    </xf>
    <xf numFmtId="4" fontId="2" fillId="0" borderId="91" xfId="1" applyNumberFormat="1" applyFont="1" applyFill="1" applyBorder="1" applyAlignment="1">
      <alignment horizontal="center" vertical="center"/>
    </xf>
    <xf numFmtId="4" fontId="35" fillId="10" borderId="98" xfId="0" applyNumberFormat="1" applyFont="1" applyFill="1" applyBorder="1" applyAlignment="1" applyProtection="1">
      <alignment horizontal="center" vertical="center"/>
    </xf>
    <xf numFmtId="0" fontId="48" fillId="0" borderId="94" xfId="0" applyFont="1" applyFill="1" applyBorder="1" applyAlignment="1">
      <alignment horizontal="center" vertical="center" wrapText="1"/>
    </xf>
    <xf numFmtId="0" fontId="46" fillId="0" borderId="90" xfId="0" applyFont="1" applyFill="1" applyBorder="1" applyAlignment="1">
      <alignment horizontal="center" vertical="center" wrapText="1"/>
    </xf>
    <xf numFmtId="0" fontId="46" fillId="0" borderId="90" xfId="0" applyFont="1" applyFill="1" applyBorder="1" applyAlignment="1">
      <alignment vertical="top" wrapText="1"/>
    </xf>
    <xf numFmtId="4" fontId="46" fillId="0" borderId="90" xfId="3" applyNumberFormat="1" applyFont="1" applyFill="1" applyBorder="1" applyAlignment="1" applyProtection="1">
      <alignment horizontal="center" vertical="center"/>
    </xf>
    <xf numFmtId="4" fontId="2" fillId="0" borderId="90" xfId="3" applyNumberFormat="1" applyFont="1" applyFill="1" applyBorder="1" applyAlignment="1" applyProtection="1">
      <alignment horizontal="center" vertical="center"/>
    </xf>
    <xf numFmtId="4" fontId="48" fillId="0" borderId="90" xfId="0" applyNumberFormat="1" applyFont="1" applyFill="1" applyBorder="1" applyAlignment="1" applyProtection="1">
      <alignment horizontal="center" vertical="center"/>
    </xf>
    <xf numFmtId="4" fontId="48" fillId="0" borderId="93" xfId="0" applyNumberFormat="1" applyFont="1" applyFill="1" applyBorder="1" applyAlignment="1" applyProtection="1">
      <alignment horizontal="center" vertical="center"/>
    </xf>
    <xf numFmtId="0" fontId="2" fillId="0" borderId="91" xfId="0" applyFont="1" applyBorder="1" applyAlignment="1">
      <alignment horizontal="left" vertical="center" wrapText="1"/>
    </xf>
    <xf numFmtId="0" fontId="43" fillId="0" borderId="91" xfId="0" applyFont="1" applyFill="1" applyBorder="1" applyAlignment="1">
      <alignment horizontal="center" vertical="center" wrapText="1"/>
    </xf>
    <xf numFmtId="0" fontId="44" fillId="0" borderId="91" xfId="0" applyFont="1" applyFill="1" applyBorder="1" applyAlignment="1">
      <alignment horizontal="center" vertical="center" wrapText="1"/>
    </xf>
    <xf numFmtId="0" fontId="45" fillId="0" borderId="91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 applyProtection="1">
      <alignment vertical="center" wrapText="1"/>
    </xf>
    <xf numFmtId="4" fontId="44" fillId="0" borderId="91" xfId="3" applyNumberFormat="1" applyFont="1" applyFill="1" applyBorder="1" applyAlignment="1" applyProtection="1">
      <alignment horizontal="center" vertical="center"/>
    </xf>
    <xf numFmtId="4" fontId="44" fillId="0" borderId="91" xfId="0" applyNumberFormat="1" applyFont="1" applyFill="1" applyBorder="1" applyAlignment="1" applyProtection="1">
      <alignment horizontal="center" vertical="center" wrapText="1"/>
    </xf>
    <xf numFmtId="4" fontId="44" fillId="0" borderId="91" xfId="0" applyNumberFormat="1" applyFont="1" applyFill="1" applyBorder="1" applyAlignment="1">
      <alignment horizontal="center" vertical="center"/>
    </xf>
    <xf numFmtId="0" fontId="2" fillId="0" borderId="91" xfId="0" quotePrefix="1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horizontal="center" vertical="center" wrapText="1"/>
    </xf>
    <xf numFmtId="0" fontId="46" fillId="0" borderId="91" xfId="0" applyFont="1" applyFill="1" applyBorder="1" applyAlignment="1">
      <alignment horizontal="center" vertical="center" wrapText="1"/>
    </xf>
    <xf numFmtId="4" fontId="2" fillId="0" borderId="91" xfId="3" applyNumberFormat="1" applyFont="1" applyFill="1" applyBorder="1" applyAlignment="1" applyProtection="1">
      <alignment horizontal="center" vertical="center"/>
    </xf>
    <xf numFmtId="4" fontId="2" fillId="0" borderId="91" xfId="0" applyNumberFormat="1" applyFont="1" applyFill="1" applyBorder="1" applyAlignment="1" applyProtection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91" xfId="0" applyNumberFormat="1" applyFont="1" applyFill="1" applyBorder="1" applyAlignment="1">
      <alignment horizontal="center" vertical="center" wrapText="1"/>
    </xf>
    <xf numFmtId="0" fontId="2" fillId="0" borderId="91" xfId="4" applyFont="1" applyFill="1" applyBorder="1" applyAlignment="1">
      <alignment horizontal="left" vertical="center" wrapText="1"/>
    </xf>
    <xf numFmtId="0" fontId="2" fillId="0" borderId="91" xfId="4" applyFont="1" applyFill="1" applyBorder="1" applyAlignment="1">
      <alignment horizontal="center" vertical="center" wrapText="1"/>
    </xf>
    <xf numFmtId="170" fontId="46" fillId="0" borderId="90" xfId="3" applyNumberFormat="1" applyFont="1" applyFill="1" applyBorder="1" applyAlignment="1" applyProtection="1">
      <alignment horizontal="center" vertical="center"/>
    </xf>
    <xf numFmtId="4" fontId="46" fillId="0" borderId="93" xfId="0" applyNumberFormat="1" applyFont="1" applyFill="1" applyBorder="1" applyAlignment="1" applyProtection="1">
      <alignment horizontal="center" vertical="center" wrapText="1"/>
    </xf>
    <xf numFmtId="0" fontId="28" fillId="11" borderId="91" xfId="0" applyFont="1" applyFill="1" applyBorder="1" applyAlignment="1">
      <alignment horizontal="center" vertical="center" wrapText="1"/>
    </xf>
    <xf numFmtId="0" fontId="2" fillId="11" borderId="91" xfId="0" applyFont="1" applyFill="1" applyBorder="1" applyAlignment="1">
      <alignment horizontal="center" vertical="center" wrapText="1"/>
    </xf>
    <xf numFmtId="0" fontId="48" fillId="11" borderId="91" xfId="0" applyFont="1" applyFill="1" applyBorder="1" applyAlignment="1">
      <alignment horizontal="center" vertical="center" wrapText="1"/>
    </xf>
    <xf numFmtId="4" fontId="2" fillId="11" borderId="91" xfId="3" applyNumberFormat="1" applyFont="1" applyFill="1" applyBorder="1" applyAlignment="1" applyProtection="1">
      <alignment horizontal="center" vertical="center"/>
    </xf>
    <xf numFmtId="170" fontId="2" fillId="11" borderId="91" xfId="3" applyNumberFormat="1" applyFont="1" applyFill="1" applyBorder="1" applyAlignment="1" applyProtection="1">
      <alignment horizontal="center" vertical="center"/>
    </xf>
    <xf numFmtId="4" fontId="2" fillId="11" borderId="91" xfId="0" applyNumberFormat="1" applyFont="1" applyFill="1" applyBorder="1" applyAlignment="1" applyProtection="1">
      <alignment horizontal="center" vertical="center" wrapText="1"/>
    </xf>
    <xf numFmtId="0" fontId="28" fillId="0" borderId="91" xfId="0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vertical="center"/>
    </xf>
    <xf numFmtId="0" fontId="28" fillId="0" borderId="93" xfId="0" applyFont="1" applyFill="1" applyBorder="1" applyAlignment="1">
      <alignment vertical="center"/>
    </xf>
    <xf numFmtId="0" fontId="28" fillId="0" borderId="91" xfId="0" applyFont="1" applyFill="1" applyBorder="1" applyAlignment="1">
      <alignment horizontal="justify" vertical="center"/>
    </xf>
    <xf numFmtId="170" fontId="2" fillId="0" borderId="91" xfId="3" applyNumberFormat="1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justify" vertical="center"/>
    </xf>
    <xf numFmtId="0" fontId="2" fillId="0" borderId="93" xfId="0" applyFont="1" applyFill="1" applyBorder="1" applyAlignment="1">
      <alignment horizontal="center" vertical="center" wrapText="1"/>
    </xf>
    <xf numFmtId="0" fontId="28" fillId="11" borderId="91" xfId="0" applyFont="1" applyFill="1" applyBorder="1" applyAlignment="1">
      <alignment vertical="center" wrapText="1"/>
    </xf>
    <xf numFmtId="2" fontId="2" fillId="0" borderId="91" xfId="0" applyNumberFormat="1" applyFont="1" applyFill="1" applyBorder="1" applyAlignment="1">
      <alignment horizontal="center" vertical="center" wrapText="1"/>
    </xf>
    <xf numFmtId="170" fontId="46" fillId="0" borderId="93" xfId="3" applyNumberFormat="1" applyFont="1" applyFill="1" applyBorder="1" applyAlignment="1" applyProtection="1">
      <alignment horizontal="center" vertical="center"/>
    </xf>
    <xf numFmtId="0" fontId="28" fillId="11" borderId="91" xfId="0" applyFont="1" applyFill="1" applyBorder="1" applyAlignment="1">
      <alignment vertical="top" wrapText="1"/>
    </xf>
    <xf numFmtId="4" fontId="28" fillId="14" borderId="91" xfId="0" applyNumberFormat="1" applyFont="1" applyFill="1" applyBorder="1" applyAlignment="1">
      <alignment horizontal="center" vertical="center" wrapText="1"/>
    </xf>
    <xf numFmtId="0" fontId="28" fillId="0" borderId="94" xfId="0" applyFont="1" applyFill="1" applyBorder="1" applyAlignment="1">
      <alignment horizontal="right" vertical="center" wrapText="1"/>
    </xf>
    <xf numFmtId="0" fontId="28" fillId="0" borderId="90" xfId="0" applyFont="1" applyFill="1" applyBorder="1" applyAlignment="1">
      <alignment horizontal="right" vertical="center" wrapText="1"/>
    </xf>
    <xf numFmtId="4" fontId="28" fillId="0" borderId="93" xfId="0" applyNumberFormat="1" applyFont="1" applyFill="1" applyBorder="1" applyAlignment="1">
      <alignment horizontal="center" vertical="center" wrapText="1"/>
    </xf>
    <xf numFmtId="0" fontId="47" fillId="0" borderId="94" xfId="0" applyFont="1" applyFill="1" applyBorder="1" applyAlignment="1">
      <alignment horizontal="center" vertical="center" wrapText="1"/>
    </xf>
    <xf numFmtId="0" fontId="45" fillId="0" borderId="90" xfId="0" applyFont="1" applyFill="1" applyBorder="1" applyAlignment="1">
      <alignment horizontal="center" vertical="center" wrapText="1"/>
    </xf>
    <xf numFmtId="0" fontId="45" fillId="0" borderId="90" xfId="0" applyFont="1" applyFill="1" applyBorder="1" applyAlignment="1">
      <alignment vertical="top" wrapText="1"/>
    </xf>
    <xf numFmtId="4" fontId="45" fillId="0" borderId="90" xfId="3" applyNumberFormat="1" applyFont="1" applyFill="1" applyBorder="1" applyAlignment="1" applyProtection="1">
      <alignment horizontal="center" vertical="center"/>
    </xf>
    <xf numFmtId="4" fontId="44" fillId="0" borderId="90" xfId="3" applyNumberFormat="1" applyFont="1" applyFill="1" applyBorder="1" applyAlignment="1" applyProtection="1">
      <alignment horizontal="center" vertical="center"/>
    </xf>
    <xf numFmtId="170" fontId="45" fillId="0" borderId="90" xfId="3" applyNumberFormat="1" applyFont="1" applyFill="1" applyBorder="1" applyAlignment="1" applyProtection="1">
      <alignment horizontal="center" vertical="center"/>
    </xf>
    <xf numFmtId="170" fontId="45" fillId="0" borderId="93" xfId="3" applyNumberFormat="1" applyFont="1" applyFill="1" applyBorder="1" applyAlignment="1" applyProtection="1">
      <alignment horizontal="center" vertical="center"/>
    </xf>
    <xf numFmtId="0" fontId="20" fillId="0" borderId="91" xfId="0" applyFont="1" applyFill="1" applyBorder="1" applyAlignment="1">
      <alignment horizontal="center" vertical="center" wrapText="1"/>
    </xf>
    <xf numFmtId="4" fontId="20" fillId="0" borderId="91" xfId="0" applyNumberFormat="1" applyFont="1" applyFill="1" applyBorder="1" applyAlignment="1">
      <alignment horizontal="center" vertical="center"/>
    </xf>
    <xf numFmtId="0" fontId="45" fillId="0" borderId="90" xfId="0" applyFont="1" applyFill="1" applyBorder="1" applyAlignment="1">
      <alignment vertical="center" wrapText="1"/>
    </xf>
    <xf numFmtId="0" fontId="20" fillId="0" borderId="91" xfId="0" applyFont="1" applyFill="1" applyBorder="1" applyAlignment="1">
      <alignment horizontal="center" vertical="center"/>
    </xf>
    <xf numFmtId="2" fontId="20" fillId="0" borderId="91" xfId="0" applyNumberFormat="1" applyFont="1" applyFill="1" applyBorder="1" applyAlignment="1">
      <alignment horizontal="center" vertical="center" wrapText="1"/>
    </xf>
    <xf numFmtId="0" fontId="2" fillId="0" borderId="91" xfId="4" applyFont="1" applyFill="1" applyBorder="1" applyAlignment="1">
      <alignment horizontal="center" vertical="center"/>
    </xf>
    <xf numFmtId="4" fontId="20" fillId="0" borderId="91" xfId="0" applyNumberFormat="1" applyFont="1" applyFill="1" applyBorder="1" applyAlignment="1" applyProtection="1">
      <alignment horizontal="center" vertical="center"/>
    </xf>
    <xf numFmtId="14" fontId="2" fillId="0" borderId="93" xfId="0" applyNumberFormat="1" applyFont="1" applyFill="1" applyBorder="1" applyAlignment="1">
      <alignment horizontal="center" vertical="top"/>
    </xf>
    <xf numFmtId="174" fontId="55" fillId="0" borderId="91" xfId="25" applyNumberFormat="1" applyFont="1" applyBorder="1" applyAlignment="1">
      <alignment horizontal="center" vertical="center"/>
    </xf>
    <xf numFmtId="0" fontId="28" fillId="11" borderId="48" xfId="4" applyFont="1" applyFill="1" applyBorder="1" applyAlignment="1">
      <alignment horizontal="left" vertical="center"/>
    </xf>
    <xf numFmtId="0" fontId="28" fillId="0" borderId="91" xfId="0" applyFont="1" applyFill="1" applyBorder="1" applyAlignment="1">
      <alignment vertical="center" wrapText="1"/>
    </xf>
    <xf numFmtId="0" fontId="28" fillId="9" borderId="91" xfId="4" applyFont="1" applyFill="1" applyBorder="1" applyAlignment="1">
      <alignment vertical="center" wrapText="1"/>
    </xf>
    <xf numFmtId="0" fontId="28" fillId="9" borderId="91" xfId="4" applyFont="1" applyFill="1" applyBorder="1" applyAlignment="1">
      <alignment horizontal="center" vertical="center" wrapText="1"/>
    </xf>
    <xf numFmtId="0" fontId="2" fillId="9" borderId="91" xfId="4" applyFont="1" applyFill="1" applyBorder="1" applyAlignment="1">
      <alignment vertical="center" wrapText="1"/>
    </xf>
    <xf numFmtId="0" fontId="2" fillId="9" borderId="91" xfId="4" applyFont="1" applyFill="1" applyBorder="1" applyAlignment="1">
      <alignment horizontal="center" vertical="center" wrapText="1"/>
    </xf>
    <xf numFmtId="0" fontId="39" fillId="0" borderId="0" xfId="4" applyFont="1" applyAlignment="1">
      <alignment horizontal="left"/>
    </xf>
    <xf numFmtId="2" fontId="2" fillId="9" borderId="91" xfId="4" applyNumberFormat="1" applyFont="1" applyFill="1" applyBorder="1" applyAlignment="1">
      <alignment horizontal="center" vertical="center" wrapText="1"/>
    </xf>
    <xf numFmtId="0" fontId="28" fillId="11" borderId="95" xfId="4" applyFont="1" applyFill="1" applyBorder="1" applyAlignment="1">
      <alignment horizontal="left" vertical="center" wrapText="1"/>
    </xf>
    <xf numFmtId="0" fontId="2" fillId="9" borderId="91" xfId="4" applyFont="1" applyFill="1" applyBorder="1" applyAlignment="1">
      <alignment horizontal="left" vertical="center" wrapText="1"/>
    </xf>
    <xf numFmtId="0" fontId="28" fillId="11" borderId="91" xfId="4" applyFont="1" applyFill="1" applyBorder="1" applyAlignment="1">
      <alignment vertical="center" wrapText="1"/>
    </xf>
    <xf numFmtId="10" fontId="2" fillId="9" borderId="91" xfId="2" applyNumberFormat="1" applyFont="1" applyFill="1" applyBorder="1" applyAlignment="1">
      <alignment horizontal="center" vertical="center" wrapText="1"/>
    </xf>
    <xf numFmtId="0" fontId="28" fillId="11" borderId="91" xfId="4" applyFont="1" applyFill="1" applyBorder="1" applyAlignment="1">
      <alignment horizontal="center" vertical="center" wrapText="1"/>
    </xf>
    <xf numFmtId="2" fontId="2" fillId="11" borderId="91" xfId="4" applyNumberFormat="1" applyFont="1" applyFill="1" applyBorder="1" applyAlignment="1">
      <alignment vertical="center"/>
    </xf>
    <xf numFmtId="0" fontId="2" fillId="0" borderId="91" xfId="4" applyFont="1" applyBorder="1" applyAlignment="1">
      <alignment vertical="center"/>
    </xf>
    <xf numFmtId="0" fontId="28" fillId="11" borderId="91" xfId="4" applyFont="1" applyFill="1" applyBorder="1" applyAlignment="1">
      <alignment vertical="center"/>
    </xf>
    <xf numFmtId="0" fontId="2" fillId="11" borderId="91" xfId="4" applyFont="1" applyFill="1" applyBorder="1" applyAlignment="1">
      <alignment vertical="center"/>
    </xf>
    <xf numFmtId="0" fontId="2" fillId="0" borderId="91" xfId="4" applyFont="1" applyBorder="1"/>
    <xf numFmtId="10" fontId="28" fillId="9" borderId="91" xfId="6" applyNumberFormat="1" applyFont="1" applyFill="1" applyBorder="1" applyAlignment="1">
      <alignment horizontal="right" vertical="center" wrapText="1"/>
    </xf>
    <xf numFmtId="2" fontId="28" fillId="9" borderId="91" xfId="4" applyNumberFormat="1" applyFont="1" applyFill="1" applyBorder="1" applyAlignment="1">
      <alignment horizontal="right" vertical="center" wrapText="1"/>
    </xf>
    <xf numFmtId="0" fontId="28" fillId="9" borderId="91" xfId="4" applyFont="1" applyFill="1" applyBorder="1" applyAlignment="1">
      <alignment horizontal="right" vertical="center" wrapText="1"/>
    </xf>
    <xf numFmtId="0" fontId="28" fillId="11" borderId="91" xfId="4" applyFont="1" applyFill="1" applyBorder="1" applyAlignment="1">
      <alignment horizontal="left" vertical="center" wrapText="1"/>
    </xf>
    <xf numFmtId="2" fontId="28" fillId="11" borderId="91" xfId="4" applyNumberFormat="1" applyFont="1" applyFill="1" applyBorder="1" applyAlignment="1">
      <alignment horizontal="center" vertical="center"/>
    </xf>
    <xf numFmtId="0" fontId="28" fillId="9" borderId="91" xfId="4" applyFont="1" applyFill="1" applyBorder="1" applyAlignment="1">
      <alignment vertical="center"/>
    </xf>
    <xf numFmtId="0" fontId="28" fillId="9" borderId="91" xfId="4" applyFont="1" applyFill="1" applyBorder="1" applyAlignment="1">
      <alignment horizontal="center" vertical="center"/>
    </xf>
    <xf numFmtId="0" fontId="28" fillId="0" borderId="94" xfId="4" applyFont="1" applyBorder="1" applyAlignment="1">
      <alignment vertical="center"/>
    </xf>
    <xf numFmtId="2" fontId="2" fillId="9" borderId="91" xfId="3" applyNumberFormat="1" applyFont="1" applyFill="1" applyBorder="1" applyAlignment="1">
      <alignment horizontal="center" vertical="center"/>
    </xf>
    <xf numFmtId="2" fontId="2" fillId="11" borderId="91" xfId="3" applyNumberFormat="1" applyFont="1" applyFill="1" applyBorder="1" applyAlignment="1">
      <alignment horizontal="center" vertical="center"/>
    </xf>
    <xf numFmtId="2" fontId="2" fillId="9" borderId="91" xfId="3" applyNumberFormat="1" applyFont="1" applyFill="1" applyBorder="1" applyAlignment="1">
      <alignment horizontal="center" vertical="center" wrapText="1"/>
    </xf>
    <xf numFmtId="49" fontId="2" fillId="9" borderId="91" xfId="3" applyNumberFormat="1" applyFont="1" applyFill="1" applyBorder="1" applyAlignment="1">
      <alignment horizontal="center" vertical="center"/>
    </xf>
    <xf numFmtId="2" fontId="2" fillId="9" borderId="91" xfId="3" applyNumberFormat="1" applyFont="1" applyFill="1" applyBorder="1" applyAlignment="1">
      <alignment vertical="center" wrapText="1"/>
    </xf>
    <xf numFmtId="2" fontId="2" fillId="11" borderId="91" xfId="3" applyNumberFormat="1" applyFont="1" applyFill="1" applyBorder="1" applyAlignment="1">
      <alignment horizontal="center" vertical="center" wrapText="1"/>
    </xf>
    <xf numFmtId="0" fontId="28" fillId="11" borderId="91" xfId="0" applyFont="1" applyFill="1" applyBorder="1" applyAlignment="1">
      <alignment horizontal="left" vertical="center" wrapText="1"/>
    </xf>
    <xf numFmtId="10" fontId="57" fillId="0" borderId="91" xfId="27" applyNumberFormat="1" applyFont="1" applyFill="1" applyBorder="1" applyAlignment="1" applyProtection="1">
      <alignment horizontal="center" vertical="center"/>
    </xf>
    <xf numFmtId="49" fontId="2" fillId="0" borderId="91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top"/>
    </xf>
    <xf numFmtId="0" fontId="49" fillId="0" borderId="0" xfId="0" applyFont="1" applyFill="1"/>
    <xf numFmtId="0" fontId="2" fillId="0" borderId="91" xfId="0" applyFont="1" applyFill="1" applyBorder="1" applyAlignment="1">
      <alignment horizontal="left" vertical="center"/>
    </xf>
    <xf numFmtId="0" fontId="20" fillId="0" borderId="91" xfId="0" applyFont="1" applyFill="1" applyBorder="1" applyAlignment="1">
      <alignment horizontal="left" vertical="center" wrapText="1"/>
    </xf>
    <xf numFmtId="0" fontId="20" fillId="0" borderId="91" xfId="0" applyFont="1" applyFill="1" applyBorder="1" applyAlignment="1">
      <alignment horizontal="left" vertical="center"/>
    </xf>
    <xf numFmtId="17" fontId="8" fillId="0" borderId="27" xfId="0" applyNumberFormat="1" applyFont="1" applyBorder="1" applyProtection="1"/>
    <xf numFmtId="17" fontId="8" fillId="0" borderId="0" xfId="0" applyNumberFormat="1" applyFont="1" applyBorder="1" applyProtection="1"/>
    <xf numFmtId="17" fontId="8" fillId="0" borderId="19" xfId="0" applyNumberFormat="1" applyFont="1" applyBorder="1" applyProtection="1"/>
    <xf numFmtId="0" fontId="4" fillId="0" borderId="41" xfId="0" applyFont="1" applyFill="1" applyBorder="1" applyAlignment="1">
      <alignment horizontal="left" vertical="justify"/>
    </xf>
    <xf numFmtId="0" fontId="4" fillId="0" borderId="62" xfId="0" applyFont="1" applyFill="1" applyBorder="1" applyAlignment="1">
      <alignment horizontal="left" vertical="justify"/>
    </xf>
    <xf numFmtId="0" fontId="7" fillId="0" borderId="63" xfId="0" applyFont="1" applyFill="1" applyBorder="1" applyAlignment="1">
      <alignment horizontal="left" vertical="top" wrapText="1"/>
    </xf>
    <xf numFmtId="0" fontId="7" fillId="0" borderId="64" xfId="0" quotePrefix="1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justify"/>
    </xf>
    <xf numFmtId="0" fontId="4" fillId="0" borderId="65" xfId="0" applyFont="1" applyFill="1" applyBorder="1" applyAlignment="1">
      <alignment horizontal="left" vertical="justify"/>
    </xf>
    <xf numFmtId="166" fontId="11" fillId="0" borderId="66" xfId="2" applyNumberFormat="1" applyFont="1" applyBorder="1" applyAlignment="1" applyProtection="1">
      <alignment horizontal="center" vertical="top" wrapText="1"/>
    </xf>
    <xf numFmtId="166" fontId="11" fillId="0" borderId="24" xfId="2" applyNumberFormat="1" applyFont="1" applyBorder="1" applyAlignment="1" applyProtection="1">
      <alignment horizontal="center" vertical="top" wrapText="1"/>
    </xf>
    <xf numFmtId="0" fontId="8" fillId="0" borderId="67" xfId="0" applyFont="1" applyBorder="1" applyAlignment="1" applyProtection="1">
      <alignment horizontal="center" vertical="center" wrapText="1"/>
    </xf>
    <xf numFmtId="0" fontId="8" fillId="0" borderId="68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4" fontId="4" fillId="0" borderId="8" xfId="0" applyNumberFormat="1" applyFont="1" applyBorder="1" applyAlignment="1" applyProtection="1">
      <alignment horizontal="center" vertical="center" wrapText="1"/>
    </xf>
    <xf numFmtId="164" fontId="10" fillId="0" borderId="14" xfId="3" applyFont="1" applyBorder="1" applyAlignment="1" applyProtection="1">
      <alignment horizontal="center" vertical="top" wrapText="1"/>
    </xf>
    <xf numFmtId="164" fontId="10" fillId="0" borderId="8" xfId="3" applyFont="1" applyBorder="1" applyAlignment="1" applyProtection="1">
      <alignment horizontal="center" vertical="top" wrapText="1"/>
    </xf>
    <xf numFmtId="0" fontId="3" fillId="0" borderId="69" xfId="0" applyFont="1" applyBorder="1" applyProtection="1"/>
    <xf numFmtId="0" fontId="3" fillId="0" borderId="70" xfId="0" applyFont="1" applyBorder="1" applyProtection="1"/>
    <xf numFmtId="0" fontId="6" fillId="0" borderId="27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9" fillId="2" borderId="71" xfId="0" applyFont="1" applyFill="1" applyBorder="1" applyAlignment="1">
      <alignment horizontal="center" vertical="top"/>
    </xf>
    <xf numFmtId="164" fontId="10" fillId="0" borderId="72" xfId="3" applyFont="1" applyBorder="1" applyAlignment="1" applyProtection="1">
      <alignment horizontal="center" vertical="top" wrapText="1"/>
    </xf>
    <xf numFmtId="164" fontId="10" fillId="0" borderId="73" xfId="3" applyFont="1" applyBorder="1" applyAlignment="1" applyProtection="1">
      <alignment horizontal="center" vertical="top" wrapText="1"/>
    </xf>
    <xf numFmtId="4" fontId="25" fillId="4" borderId="61" xfId="0" applyNumberFormat="1" applyFont="1" applyFill="1" applyBorder="1" applyAlignment="1" applyProtection="1">
      <alignment horizontal="center" vertical="center"/>
    </xf>
    <xf numFmtId="4" fontId="25" fillId="4" borderId="49" xfId="0" applyNumberFormat="1" applyFont="1" applyFill="1" applyBorder="1" applyAlignment="1" applyProtection="1">
      <alignment horizontal="center" vertical="center"/>
    </xf>
    <xf numFmtId="165" fontId="25" fillId="4" borderId="61" xfId="1" applyFont="1" applyFill="1" applyBorder="1" applyAlignment="1">
      <alignment horizontal="center" vertical="center"/>
    </xf>
    <xf numFmtId="165" fontId="25" fillId="4" borderId="49" xfId="1" applyFont="1" applyFill="1" applyBorder="1" applyAlignment="1">
      <alignment horizontal="center" vertical="center"/>
    </xf>
    <xf numFmtId="0" fontId="29" fillId="0" borderId="59" xfId="0" applyFont="1" applyBorder="1" applyAlignment="1" applyProtection="1">
      <alignment horizontal="center" vertical="center"/>
    </xf>
    <xf numFmtId="0" fontId="29" fillId="0" borderId="22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25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29" fillId="0" borderId="71" xfId="0" applyFont="1" applyBorder="1" applyAlignment="1" applyProtection="1">
      <alignment horizontal="center" vertical="center"/>
    </xf>
    <xf numFmtId="0" fontId="25" fillId="0" borderId="74" xfId="0" applyFont="1" applyBorder="1" applyAlignment="1" applyProtection="1">
      <alignment horizontal="left" vertical="center"/>
    </xf>
    <xf numFmtId="0" fontId="25" fillId="0" borderId="51" xfId="0" applyFont="1" applyBorder="1" applyAlignment="1" applyProtection="1">
      <alignment horizontal="left" vertical="center"/>
    </xf>
    <xf numFmtId="0" fontId="25" fillId="0" borderId="52" xfId="0" applyFont="1" applyBorder="1" applyAlignment="1" applyProtection="1">
      <alignment horizontal="left" vertical="center"/>
    </xf>
    <xf numFmtId="0" fontId="23" fillId="0" borderId="74" xfId="0" applyFont="1" applyBorder="1" applyAlignment="1" applyProtection="1">
      <alignment horizontal="left"/>
    </xf>
    <xf numFmtId="0" fontId="23" fillId="0" borderId="51" xfId="0" applyFont="1" applyBorder="1" applyAlignment="1" applyProtection="1">
      <alignment horizontal="left"/>
    </xf>
    <xf numFmtId="0" fontId="23" fillId="0" borderId="52" xfId="0" applyFont="1" applyBorder="1" applyAlignment="1" applyProtection="1">
      <alignment horizontal="left"/>
    </xf>
    <xf numFmtId="17" fontId="23" fillId="0" borderId="74" xfId="0" applyNumberFormat="1" applyFont="1" applyBorder="1" applyAlignment="1" applyProtection="1">
      <alignment horizontal="left"/>
    </xf>
    <xf numFmtId="17" fontId="23" fillId="0" borderId="51" xfId="0" applyNumberFormat="1" applyFont="1" applyBorder="1" applyAlignment="1" applyProtection="1">
      <alignment horizontal="left"/>
    </xf>
    <xf numFmtId="17" fontId="23" fillId="0" borderId="52" xfId="0" applyNumberFormat="1" applyFont="1" applyBorder="1" applyAlignment="1" applyProtection="1">
      <alignment horizontal="left"/>
    </xf>
    <xf numFmtId="0" fontId="24" fillId="0" borderId="75" xfId="0" applyFont="1" applyBorder="1" applyAlignment="1" applyProtection="1">
      <alignment horizontal="center" vertical="center" wrapText="1"/>
    </xf>
    <xf numFmtId="0" fontId="24" fillId="0" borderId="76" xfId="0" applyFont="1" applyBorder="1" applyAlignment="1" applyProtection="1">
      <alignment horizontal="center" vertical="center" wrapText="1"/>
    </xf>
    <xf numFmtId="0" fontId="24" fillId="0" borderId="44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2" fillId="0" borderId="60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4" fontId="22" fillId="0" borderId="60" xfId="0" applyNumberFormat="1" applyFont="1" applyBorder="1" applyAlignment="1" applyProtection="1">
      <alignment horizontal="center" vertical="center" wrapText="1"/>
    </xf>
    <xf numFmtId="4" fontId="22" fillId="0" borderId="58" xfId="0" applyNumberFormat="1" applyFont="1" applyBorder="1" applyAlignment="1" applyProtection="1">
      <alignment horizontal="center" vertical="center" wrapText="1"/>
    </xf>
    <xf numFmtId="0" fontId="28" fillId="0" borderId="94" xfId="0" applyFont="1" applyFill="1" applyBorder="1" applyAlignment="1">
      <alignment horizontal="right" vertical="top"/>
    </xf>
    <xf numFmtId="0" fontId="28" fillId="0" borderId="90" xfId="0" applyFont="1" applyFill="1" applyBorder="1" applyAlignment="1">
      <alignment horizontal="right" vertical="top"/>
    </xf>
    <xf numFmtId="0" fontId="28" fillId="0" borderId="93" xfId="0" applyFont="1" applyFill="1" applyBorder="1" applyAlignment="1">
      <alignment horizontal="right" vertical="top"/>
    </xf>
    <xf numFmtId="0" fontId="2" fillId="0" borderId="94" xfId="0" applyFont="1" applyBorder="1" applyAlignment="1">
      <alignment horizontal="left"/>
    </xf>
    <xf numFmtId="0" fontId="20" fillId="0" borderId="90" xfId="0" applyFont="1" applyBorder="1" applyAlignment="1">
      <alignment horizontal="left"/>
    </xf>
    <xf numFmtId="0" fontId="20" fillId="0" borderId="93" xfId="0" applyFont="1" applyBorder="1" applyAlignment="1">
      <alignment horizontal="left"/>
    </xf>
    <xf numFmtId="0" fontId="28" fillId="0" borderId="94" xfId="0" applyFont="1" applyFill="1" applyBorder="1" applyAlignment="1" applyProtection="1">
      <alignment horizontal="left" vertical="center" wrapText="1"/>
    </xf>
    <xf numFmtId="0" fontId="28" fillId="0" borderId="90" xfId="0" applyFont="1" applyFill="1" applyBorder="1" applyAlignment="1" applyProtection="1">
      <alignment horizontal="left" vertical="center" wrapText="1"/>
    </xf>
    <xf numFmtId="0" fontId="28" fillId="0" borderId="93" xfId="0" applyFont="1" applyFill="1" applyBorder="1" applyAlignment="1" applyProtection="1">
      <alignment horizontal="left" vertical="center" wrapText="1"/>
    </xf>
    <xf numFmtId="0" fontId="28" fillId="0" borderId="91" xfId="0" applyFont="1" applyFill="1" applyBorder="1" applyAlignment="1">
      <alignment horizontal="right" vertical="center"/>
    </xf>
    <xf numFmtId="4" fontId="28" fillId="0" borderId="91" xfId="0" applyNumberFormat="1" applyFont="1" applyFill="1" applyBorder="1" applyAlignment="1" applyProtection="1">
      <alignment horizontal="right" vertical="center"/>
    </xf>
    <xf numFmtId="0" fontId="28" fillId="13" borderId="94" xfId="0" applyFont="1" applyFill="1" applyBorder="1" applyAlignment="1">
      <alignment horizontal="center" vertical="center"/>
    </xf>
    <xf numFmtId="0" fontId="28" fillId="13" borderId="90" xfId="0" applyFont="1" applyFill="1" applyBorder="1" applyAlignment="1">
      <alignment horizontal="center" vertical="center"/>
    </xf>
    <xf numFmtId="0" fontId="28" fillId="13" borderId="93" xfId="0" applyFont="1" applyFill="1" applyBorder="1" applyAlignment="1">
      <alignment horizontal="center" vertical="center"/>
    </xf>
    <xf numFmtId="0" fontId="28" fillId="14" borderId="94" xfId="0" applyFont="1" applyFill="1" applyBorder="1" applyAlignment="1">
      <alignment horizontal="right" vertical="center" wrapText="1"/>
    </xf>
    <xf numFmtId="0" fontId="28" fillId="14" borderId="90" xfId="0" applyFont="1" applyFill="1" applyBorder="1" applyAlignment="1">
      <alignment horizontal="right" vertical="center" wrapText="1"/>
    </xf>
    <xf numFmtId="0" fontId="28" fillId="14" borderId="93" xfId="0" applyFont="1" applyFill="1" applyBorder="1" applyAlignment="1">
      <alignment horizontal="right" vertical="center" wrapText="1"/>
    </xf>
    <xf numFmtId="0" fontId="2" fillId="0" borderId="91" xfId="4" applyFont="1" applyBorder="1" applyAlignment="1">
      <alignment horizontal="left" vertical="center" wrapText="1"/>
    </xf>
    <xf numFmtId="0" fontId="28" fillId="0" borderId="94" xfId="0" applyFont="1" applyFill="1" applyBorder="1" applyAlignment="1" applyProtection="1">
      <alignment horizontal="center" vertical="center" wrapText="1"/>
    </xf>
    <xf numFmtId="0" fontId="28" fillId="0" borderId="90" xfId="0" applyFont="1" applyFill="1" applyBorder="1" applyAlignment="1" applyProtection="1">
      <alignment horizontal="center" vertical="center" wrapText="1"/>
    </xf>
    <xf numFmtId="0" fontId="28" fillId="0" borderId="93" xfId="0" applyFont="1" applyFill="1" applyBorder="1" applyAlignment="1" applyProtection="1">
      <alignment horizontal="center" vertical="center" wrapText="1"/>
    </xf>
    <xf numFmtId="0" fontId="36" fillId="0" borderId="91" xfId="0" applyFont="1" applyFill="1" applyBorder="1" applyAlignment="1" applyProtection="1">
      <alignment horizontal="center" vertical="center" wrapText="1"/>
    </xf>
    <xf numFmtId="0" fontId="28" fillId="9" borderId="91" xfId="0" applyFont="1" applyFill="1" applyBorder="1" applyAlignment="1">
      <alignment horizontal="right" vertical="center"/>
    </xf>
    <xf numFmtId="44" fontId="28" fillId="9" borderId="94" xfId="0" applyNumberFormat="1" applyFont="1" applyFill="1" applyBorder="1" applyAlignment="1">
      <alignment horizontal="center" vertical="center"/>
    </xf>
    <xf numFmtId="44" fontId="28" fillId="9" borderId="93" xfId="0" applyNumberFormat="1" applyFont="1" applyFill="1" applyBorder="1" applyAlignment="1">
      <alignment horizontal="center" vertical="center"/>
    </xf>
    <xf numFmtId="49" fontId="2" fillId="0" borderId="94" xfId="0" applyNumberFormat="1" applyFont="1" applyFill="1" applyBorder="1" applyAlignment="1">
      <alignment horizontal="center" vertical="center"/>
    </xf>
    <xf numFmtId="49" fontId="2" fillId="0" borderId="93" xfId="0" applyNumberFormat="1" applyFont="1" applyFill="1" applyBorder="1" applyAlignment="1">
      <alignment horizontal="center" vertical="center"/>
    </xf>
    <xf numFmtId="0" fontId="28" fillId="10" borderId="60" xfId="4" applyFont="1" applyFill="1" applyBorder="1" applyAlignment="1">
      <alignment horizontal="left" vertical="center" wrapText="1"/>
    </xf>
    <xf numFmtId="0" fontId="28" fillId="7" borderId="91" xfId="0" applyFont="1" applyFill="1" applyBorder="1" applyAlignment="1">
      <alignment horizontal="right" vertical="center"/>
    </xf>
    <xf numFmtId="44" fontId="28" fillId="7" borderId="94" xfId="0" applyNumberFormat="1" applyFont="1" applyFill="1" applyBorder="1" applyAlignment="1">
      <alignment horizontal="center" vertical="center"/>
    </xf>
    <xf numFmtId="44" fontId="28" fillId="7" borderId="93" xfId="0" applyNumberFormat="1" applyFont="1" applyFill="1" applyBorder="1" applyAlignment="1">
      <alignment horizontal="center" vertical="center"/>
    </xf>
    <xf numFmtId="0" fontId="57" fillId="20" borderId="91" xfId="25" applyFont="1" applyFill="1" applyBorder="1" applyAlignment="1">
      <alignment horizontal="right" vertical="center"/>
    </xf>
    <xf numFmtId="0" fontId="56" fillId="15" borderId="91" xfId="25" applyFont="1" applyFill="1" applyBorder="1" applyAlignment="1">
      <alignment horizontal="left" vertical="center" wrapText="1"/>
    </xf>
    <xf numFmtId="0" fontId="56" fillId="15" borderId="94" xfId="25" applyFont="1" applyFill="1" applyBorder="1" applyAlignment="1">
      <alignment horizontal="left" vertical="center" wrapText="1"/>
    </xf>
    <xf numFmtId="0" fontId="56" fillId="15" borderId="90" xfId="25" applyFont="1" applyFill="1" applyBorder="1" applyAlignment="1">
      <alignment horizontal="left" vertical="center" wrapText="1"/>
    </xf>
    <xf numFmtId="0" fontId="56" fillId="15" borderId="93" xfId="25" applyFont="1" applyFill="1" applyBorder="1" applyAlignment="1">
      <alignment horizontal="left" vertical="center" wrapText="1"/>
    </xf>
    <xf numFmtId="0" fontId="57" fillId="19" borderId="91" xfId="25" applyFont="1" applyFill="1" applyBorder="1" applyAlignment="1">
      <alignment horizontal="right" vertical="center"/>
    </xf>
    <xf numFmtId="0" fontId="60" fillId="16" borderId="95" xfId="25" applyFont="1" applyFill="1" applyBorder="1" applyAlignment="1">
      <alignment horizontal="center"/>
    </xf>
    <xf numFmtId="0" fontId="58" fillId="16" borderId="10" xfId="25" applyFont="1" applyFill="1" applyBorder="1" applyAlignment="1">
      <alignment horizontal="center"/>
    </xf>
    <xf numFmtId="0" fontId="61" fillId="16" borderId="10" xfId="25" applyFont="1" applyFill="1" applyBorder="1" applyAlignment="1">
      <alignment horizontal="left" vertical="center"/>
    </xf>
    <xf numFmtId="0" fontId="55" fillId="0" borderId="91" xfId="25" applyFont="1" applyBorder="1" applyAlignment="1">
      <alignment horizontal="center" vertical="center"/>
    </xf>
    <xf numFmtId="174" fontId="55" fillId="0" borderId="91" xfId="25" applyNumberFormat="1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28" fillId="0" borderId="23" xfId="5" applyFont="1" applyFill="1" applyBorder="1" applyAlignment="1">
      <alignment horizontal="right"/>
    </xf>
    <xf numFmtId="0" fontId="28" fillId="0" borderId="70" xfId="5" applyFont="1" applyFill="1" applyBorder="1" applyAlignment="1">
      <alignment horizontal="right"/>
    </xf>
    <xf numFmtId="0" fontId="28" fillId="0" borderId="50" xfId="5" applyFont="1" applyBorder="1" applyAlignment="1" applyProtection="1">
      <alignment horizontal="left" vertical="center"/>
    </xf>
    <xf numFmtId="0" fontId="28" fillId="0" borderId="51" xfId="5" applyFont="1" applyBorder="1" applyAlignment="1" applyProtection="1">
      <alignment horizontal="left" vertical="center"/>
    </xf>
    <xf numFmtId="0" fontId="28" fillId="0" borderId="83" xfId="5" applyFont="1" applyBorder="1" applyAlignment="1" applyProtection="1">
      <alignment horizontal="left" vertical="center"/>
    </xf>
    <xf numFmtId="0" fontId="28" fillId="0" borderId="50" xfId="5" applyFont="1" applyFill="1" applyBorder="1" applyAlignment="1">
      <alignment horizontal="right" wrapText="1"/>
    </xf>
    <xf numFmtId="0" fontId="28" fillId="0" borderId="51" xfId="5" applyFont="1" applyFill="1" applyBorder="1" applyAlignment="1">
      <alignment horizontal="right" wrapText="1"/>
    </xf>
    <xf numFmtId="0" fontId="2" fillId="0" borderId="48" xfId="4" applyFont="1" applyBorder="1" applyAlignment="1">
      <alignment horizontal="left" vertical="center" wrapText="1"/>
    </xf>
    <xf numFmtId="0" fontId="28" fillId="11" borderId="49" xfId="4" applyFont="1" applyFill="1" applyBorder="1" applyAlignment="1">
      <alignment vertical="center" wrapText="1"/>
    </xf>
    <xf numFmtId="0" fontId="28" fillId="11" borderId="60" xfId="4" applyFont="1" applyFill="1" applyBorder="1" applyAlignment="1">
      <alignment vertical="center" wrapText="1"/>
    </xf>
    <xf numFmtId="49" fontId="2" fillId="11" borderId="55" xfId="4" applyNumberFormat="1" applyFont="1" applyFill="1" applyBorder="1" applyAlignment="1">
      <alignment horizontal="left" vertical="center" wrapText="1"/>
    </xf>
    <xf numFmtId="49" fontId="2" fillId="11" borderId="56" xfId="4" applyNumberFormat="1" applyFont="1" applyFill="1" applyBorder="1" applyAlignment="1">
      <alignment horizontal="left" vertical="center" wrapText="1"/>
    </xf>
    <xf numFmtId="49" fontId="2" fillId="11" borderId="88" xfId="4" applyNumberFormat="1" applyFont="1" applyFill="1" applyBorder="1" applyAlignment="1">
      <alignment horizontal="left" vertical="center" wrapText="1"/>
    </xf>
    <xf numFmtId="0" fontId="28" fillId="9" borderId="44" xfId="4" applyFont="1" applyFill="1" applyBorder="1" applyAlignment="1">
      <alignment vertical="center" wrapText="1"/>
    </xf>
    <xf numFmtId="0" fontId="28" fillId="9" borderId="46" xfId="4" applyFont="1" applyFill="1" applyBorder="1" applyAlignment="1">
      <alignment vertical="center" wrapText="1"/>
    </xf>
    <xf numFmtId="0" fontId="28" fillId="9" borderId="44" xfId="4" applyFont="1" applyFill="1" applyBorder="1" applyAlignment="1">
      <alignment horizontal="center" vertical="center" wrapText="1"/>
    </xf>
    <xf numFmtId="0" fontId="28" fillId="9" borderId="46" xfId="4" applyFont="1" applyFill="1" applyBorder="1" applyAlignment="1">
      <alignment horizontal="center" vertical="center" wrapText="1"/>
    </xf>
    <xf numFmtId="0" fontId="28" fillId="9" borderId="21" xfId="4" applyFont="1" applyFill="1" applyBorder="1" applyAlignment="1">
      <alignment horizontal="center" vertical="center" wrapText="1"/>
    </xf>
    <xf numFmtId="0" fontId="28" fillId="9" borderId="87" xfId="4" applyFont="1" applyFill="1" applyBorder="1" applyAlignment="1">
      <alignment horizontal="center" vertical="center" wrapText="1"/>
    </xf>
    <xf numFmtId="0" fontId="43" fillId="12" borderId="48" xfId="4" applyFont="1" applyFill="1" applyBorder="1" applyAlignment="1">
      <alignment horizontal="center" vertical="center" wrapText="1"/>
    </xf>
    <xf numFmtId="0" fontId="2" fillId="11" borderId="49" xfId="4" applyFont="1" applyFill="1" applyBorder="1" applyAlignment="1">
      <alignment horizontal="left" vertical="center" wrapText="1"/>
    </xf>
    <xf numFmtId="0" fontId="28" fillId="11" borderId="48" xfId="4" applyFont="1" applyFill="1" applyBorder="1" applyAlignment="1">
      <alignment horizontal="left" vertical="center"/>
    </xf>
    <xf numFmtId="0" fontId="2" fillId="11" borderId="48" xfId="4" applyFont="1" applyFill="1" applyBorder="1" applyAlignment="1">
      <alignment horizontal="left" vertical="center"/>
    </xf>
    <xf numFmtId="0" fontId="2" fillId="11" borderId="48" xfId="4" applyFont="1" applyFill="1" applyBorder="1" applyAlignment="1">
      <alignment horizontal="left" vertical="center" wrapText="1"/>
    </xf>
    <xf numFmtId="0" fontId="50" fillId="0" borderId="54" xfId="0" applyFont="1" applyBorder="1" applyAlignment="1">
      <alignment horizontal="center" vertical="center"/>
    </xf>
    <xf numFmtId="0" fontId="38" fillId="0" borderId="23" xfId="5" applyFont="1" applyFill="1" applyBorder="1" applyAlignment="1">
      <alignment horizontal="right"/>
    </xf>
    <xf numFmtId="0" fontId="38" fillId="0" borderId="70" xfId="5" applyFont="1" applyFill="1" applyBorder="1" applyAlignment="1">
      <alignment horizontal="right"/>
    </xf>
    <xf numFmtId="0" fontId="38" fillId="0" borderId="50" xfId="5" applyFont="1" applyFill="1" applyBorder="1" applyAlignment="1">
      <alignment horizontal="right" wrapText="1"/>
    </xf>
    <xf numFmtId="0" fontId="38" fillId="0" borderId="51" xfId="5" applyFont="1" applyFill="1" applyBorder="1" applyAlignment="1">
      <alignment horizontal="right" wrapText="1"/>
    </xf>
    <xf numFmtId="49" fontId="2" fillId="11" borderId="92" xfId="4" applyNumberFormat="1" applyFont="1" applyFill="1" applyBorder="1" applyAlignment="1">
      <alignment horizontal="left" vertical="center" wrapText="1"/>
    </xf>
    <xf numFmtId="49" fontId="2" fillId="11" borderId="96" xfId="4" applyNumberFormat="1" applyFont="1" applyFill="1" applyBorder="1" applyAlignment="1">
      <alignment horizontal="left" vertical="center" wrapText="1"/>
    </xf>
    <xf numFmtId="49" fontId="2" fillId="11" borderId="97" xfId="4" applyNumberFormat="1" applyFont="1" applyFill="1" applyBorder="1" applyAlignment="1">
      <alignment horizontal="left" vertical="center" wrapText="1"/>
    </xf>
    <xf numFmtId="0" fontId="28" fillId="9" borderId="91" xfId="4" applyFont="1" applyFill="1" applyBorder="1" applyAlignment="1">
      <alignment horizontal="center" vertical="center" wrapText="1"/>
    </xf>
    <xf numFmtId="4" fontId="2" fillId="9" borderId="94" xfId="4" applyNumberFormat="1" applyFont="1" applyFill="1" applyBorder="1" applyAlignment="1">
      <alignment horizontal="center" vertical="center" wrapText="1"/>
    </xf>
    <xf numFmtId="4" fontId="2" fillId="9" borderId="93" xfId="4" applyNumberFormat="1" applyFont="1" applyFill="1" applyBorder="1" applyAlignment="1">
      <alignment horizontal="center" vertical="center" wrapText="1"/>
    </xf>
    <xf numFmtId="2" fontId="28" fillId="11" borderId="91" xfId="4" applyNumberFormat="1" applyFont="1" applyFill="1" applyBorder="1" applyAlignment="1">
      <alignment horizontal="center" vertical="center" wrapText="1"/>
    </xf>
    <xf numFmtId="0" fontId="28" fillId="11" borderId="91" xfId="4" applyFont="1" applyFill="1" applyBorder="1" applyAlignment="1">
      <alignment horizontal="center" vertical="center" wrapText="1"/>
    </xf>
    <xf numFmtId="0" fontId="2" fillId="9" borderId="94" xfId="4" applyFont="1" applyFill="1" applyBorder="1" applyAlignment="1">
      <alignment horizontal="center" vertical="center" wrapText="1"/>
    </xf>
    <xf numFmtId="0" fontId="2" fillId="9" borderId="90" xfId="4" applyFont="1" applyFill="1" applyBorder="1" applyAlignment="1">
      <alignment horizontal="center" vertical="center" wrapText="1"/>
    </xf>
    <xf numFmtId="0" fontId="2" fillId="9" borderId="93" xfId="4" applyFont="1" applyFill="1" applyBorder="1" applyAlignment="1">
      <alignment horizontal="center" vertical="center" wrapText="1"/>
    </xf>
    <xf numFmtId="0" fontId="28" fillId="11" borderId="94" xfId="4" applyFont="1" applyFill="1" applyBorder="1" applyAlignment="1">
      <alignment horizontal="right" vertical="center" wrapText="1"/>
    </xf>
    <xf numFmtId="0" fontId="28" fillId="11" borderId="90" xfId="4" applyFont="1" applyFill="1" applyBorder="1" applyAlignment="1">
      <alignment horizontal="right" vertical="center" wrapText="1"/>
    </xf>
    <xf numFmtId="0" fontId="28" fillId="11" borderId="93" xfId="4" applyFont="1" applyFill="1" applyBorder="1" applyAlignment="1">
      <alignment horizontal="right" vertical="center" wrapText="1"/>
    </xf>
    <xf numFmtId="2" fontId="2" fillId="0" borderId="91" xfId="4" applyNumberFormat="1" applyFont="1" applyFill="1" applyBorder="1" applyAlignment="1">
      <alignment horizontal="center" vertical="center" wrapText="1"/>
    </xf>
    <xf numFmtId="2" fontId="2" fillId="9" borderId="91" xfId="4" applyNumberFormat="1" applyFont="1" applyFill="1" applyBorder="1" applyAlignment="1">
      <alignment horizontal="center" vertical="center" wrapText="1"/>
    </xf>
    <xf numFmtId="0" fontId="28" fillId="9" borderId="94" xfId="4" applyFont="1" applyFill="1" applyBorder="1" applyAlignment="1">
      <alignment horizontal="right" vertical="center" wrapText="1"/>
    </xf>
    <xf numFmtId="0" fontId="28" fillId="9" borderId="90" xfId="4" applyFont="1" applyFill="1" applyBorder="1" applyAlignment="1">
      <alignment horizontal="right" vertical="center" wrapText="1"/>
    </xf>
    <xf numFmtId="0" fontId="28" fillId="9" borderId="93" xfId="4" applyFont="1" applyFill="1" applyBorder="1" applyAlignment="1">
      <alignment horizontal="right" vertical="center" wrapText="1"/>
    </xf>
    <xf numFmtId="2" fontId="2" fillId="11" borderId="94" xfId="4" applyNumberFormat="1" applyFont="1" applyFill="1" applyBorder="1" applyAlignment="1">
      <alignment horizontal="center" vertical="center" wrapText="1"/>
    </xf>
    <xf numFmtId="2" fontId="2" fillId="11" borderId="93" xfId="4" applyNumberFormat="1" applyFont="1" applyFill="1" applyBorder="1" applyAlignment="1">
      <alignment horizontal="center" vertical="center" wrapText="1"/>
    </xf>
    <xf numFmtId="0" fontId="28" fillId="11" borderId="94" xfId="4" applyFont="1" applyFill="1" applyBorder="1" applyAlignment="1">
      <alignment horizontal="center" vertical="center" wrapText="1"/>
    </xf>
    <xf numFmtId="0" fontId="28" fillId="11" borderId="90" xfId="4" applyFont="1" applyFill="1" applyBorder="1" applyAlignment="1">
      <alignment horizontal="center" vertical="center" wrapText="1"/>
    </xf>
    <xf numFmtId="0" fontId="28" fillId="11" borderId="93" xfId="4" applyFont="1" applyFill="1" applyBorder="1" applyAlignment="1">
      <alignment horizontal="center" vertical="center" wrapText="1"/>
    </xf>
    <xf numFmtId="0" fontId="2" fillId="9" borderId="94" xfId="4" applyFont="1" applyFill="1" applyBorder="1" applyAlignment="1">
      <alignment horizontal="center" vertical="center"/>
    </xf>
    <xf numFmtId="0" fontId="2" fillId="9" borderId="90" xfId="4" applyFont="1" applyFill="1" applyBorder="1" applyAlignment="1">
      <alignment horizontal="center" vertical="center"/>
    </xf>
    <xf numFmtId="0" fontId="2" fillId="9" borderId="93" xfId="4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1" fillId="0" borderId="31" xfId="0" applyFont="1" applyBorder="1" applyAlignment="1" applyProtection="1">
      <alignment horizontal="center"/>
    </xf>
    <xf numFmtId="0" fontId="31" fillId="0" borderId="32" xfId="0" applyFont="1" applyBorder="1" applyAlignment="1" applyProtection="1">
      <alignment horizontal="center"/>
    </xf>
    <xf numFmtId="0" fontId="32" fillId="0" borderId="31" xfId="0" applyFont="1" applyBorder="1" applyAlignment="1" applyProtection="1">
      <alignment horizontal="center" vertical="center"/>
    </xf>
    <xf numFmtId="0" fontId="32" fillId="0" borderId="32" xfId="0" applyFont="1" applyBorder="1" applyAlignment="1" applyProtection="1">
      <alignment horizontal="center" vertical="center"/>
    </xf>
    <xf numFmtId="0" fontId="32" fillId="0" borderId="49" xfId="0" applyFont="1" applyBorder="1" applyAlignment="1" applyProtection="1">
      <alignment horizontal="left" vertical="center"/>
    </xf>
    <xf numFmtId="0" fontId="22" fillId="0" borderId="49" xfId="0" applyFont="1" applyBorder="1" applyAlignment="1" applyProtection="1">
      <alignment horizontal="center" vertical="center"/>
    </xf>
    <xf numFmtId="0" fontId="22" fillId="0" borderId="48" xfId="0" applyFont="1" applyBorder="1" applyAlignment="1" applyProtection="1">
      <alignment horizontal="center" vertical="center"/>
    </xf>
    <xf numFmtId="0" fontId="32" fillId="0" borderId="48" xfId="0" applyFont="1" applyBorder="1" applyAlignment="1" applyProtection="1">
      <alignment horizontal="left" vertical="center"/>
    </xf>
    <xf numFmtId="0" fontId="33" fillId="0" borderId="81" xfId="0" applyFont="1" applyBorder="1" applyAlignment="1">
      <alignment horizontal="center"/>
    </xf>
    <xf numFmtId="0" fontId="33" fillId="0" borderId="82" xfId="0" applyFont="1" applyBorder="1" applyAlignment="1">
      <alignment horizontal="center"/>
    </xf>
    <xf numFmtId="0" fontId="33" fillId="0" borderId="79" xfId="0" applyFont="1" applyBorder="1" applyAlignment="1">
      <alignment horizontal="center"/>
    </xf>
    <xf numFmtId="0" fontId="33" fillId="5" borderId="48" xfId="0" applyFont="1" applyFill="1" applyBorder="1" applyAlignment="1">
      <alignment horizontal="center"/>
    </xf>
    <xf numFmtId="0" fontId="32" fillId="2" borderId="77" xfId="0" applyFont="1" applyFill="1" applyBorder="1" applyAlignment="1">
      <alignment horizontal="left"/>
    </xf>
    <xf numFmtId="0" fontId="32" fillId="2" borderId="56" xfId="0" applyFont="1" applyFill="1" applyBorder="1" applyAlignment="1">
      <alignment horizontal="left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/>
    </xf>
    <xf numFmtId="0" fontId="32" fillId="0" borderId="44" xfId="0" applyFont="1" applyBorder="1" applyAlignment="1">
      <alignment horizontal="center" vertical="center"/>
    </xf>
    <xf numFmtId="0" fontId="32" fillId="0" borderId="46" xfId="0" applyFont="1" applyBorder="1" applyAlignment="1"/>
    <xf numFmtId="0" fontId="32" fillId="0" borderId="23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70" xfId="0" applyFont="1" applyBorder="1" applyAlignment="1">
      <alignment horizontal="center"/>
    </xf>
  </cellXfs>
  <cellStyles count="28">
    <cellStyle name="Moeda" xfId="1" builtinId="4"/>
    <cellStyle name="Moeda 2" xfId="11" xr:uid="{00000000-0005-0000-0000-000001000000}"/>
    <cellStyle name="Moeda 2 2" xfId="7" xr:uid="{00000000-0005-0000-0000-000002000000}"/>
    <cellStyle name="Normal" xfId="0" builtinId="0"/>
    <cellStyle name="Normal 2" xfId="4" xr:uid="{00000000-0005-0000-0000-000004000000}"/>
    <cellStyle name="Normal 2 2" xfId="9" xr:uid="{00000000-0005-0000-0000-000005000000}"/>
    <cellStyle name="Normal 2 3" xfId="12" xr:uid="{00000000-0005-0000-0000-000006000000}"/>
    <cellStyle name="Normal 2 3 2" xfId="13" xr:uid="{00000000-0005-0000-0000-000007000000}"/>
    <cellStyle name="Normal 3" xfId="5" xr:uid="{00000000-0005-0000-0000-000008000000}"/>
    <cellStyle name="Normal 4" xfId="8" xr:uid="{00000000-0005-0000-0000-000009000000}"/>
    <cellStyle name="Normal 4 2" xfId="25" xr:uid="{00000000-0005-0000-0000-00000A000000}"/>
    <cellStyle name="Normal 6" xfId="14" xr:uid="{00000000-0005-0000-0000-00000B000000}"/>
    <cellStyle name="Normal 61" xfId="15" xr:uid="{00000000-0005-0000-0000-00000C000000}"/>
    <cellStyle name="Porcentagem" xfId="2" builtinId="5"/>
    <cellStyle name="Porcentagem 14 3" xfId="16" xr:uid="{00000000-0005-0000-0000-00000E000000}"/>
    <cellStyle name="Porcentagem 2" xfId="6" xr:uid="{00000000-0005-0000-0000-00000F000000}"/>
    <cellStyle name="Porcentagem 2 2" xfId="17" xr:uid="{00000000-0005-0000-0000-000010000000}"/>
    <cellStyle name="Porcentagem 2 3" xfId="18" xr:uid="{00000000-0005-0000-0000-000011000000}"/>
    <cellStyle name="Porcentagem 3" xfId="19" xr:uid="{00000000-0005-0000-0000-000012000000}"/>
    <cellStyle name="Porcentagem 3 10 2 2" xfId="20" xr:uid="{00000000-0005-0000-0000-000013000000}"/>
    <cellStyle name="Porcentagem 3 2" xfId="27" xr:uid="{00000000-0005-0000-0000-000014000000}"/>
    <cellStyle name="Separador de milhares 2" xfId="10" xr:uid="{00000000-0005-0000-0000-000016000000}"/>
    <cellStyle name="Separador de milhares 2 2" xfId="26" xr:uid="{00000000-0005-0000-0000-000017000000}"/>
    <cellStyle name="Separador de milhares 2 3" xfId="21" xr:uid="{00000000-0005-0000-0000-000018000000}"/>
    <cellStyle name="Separador de milhares 3" xfId="22" xr:uid="{00000000-0005-0000-0000-000019000000}"/>
    <cellStyle name="Separador de milhares 4" xfId="23" xr:uid="{00000000-0005-0000-0000-00001A000000}"/>
    <cellStyle name="Vírgula" xfId="3" builtinId="3"/>
    <cellStyle name="Vírgula 2" xfId="24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3</xdr:col>
      <xdr:colOff>581025</xdr:colOff>
      <xdr:row>0</xdr:row>
      <xdr:rowOff>304800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66675"/>
          <a:ext cx="5324475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20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Prefeitura Municipal de Aracruz</a:t>
          </a:r>
        </a:p>
      </xdr:txBody>
    </xdr:sp>
    <xdr:clientData/>
  </xdr:twoCellAnchor>
  <xdr:twoCellAnchor>
    <xdr:from>
      <xdr:col>4</xdr:col>
      <xdr:colOff>123825</xdr:colOff>
      <xdr:row>0</xdr:row>
      <xdr:rowOff>47625</xdr:rowOff>
    </xdr:from>
    <xdr:to>
      <xdr:col>5</xdr:col>
      <xdr:colOff>704850</xdr:colOff>
      <xdr:row>2</xdr:row>
      <xdr:rowOff>123825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950" y="47625"/>
          <a:ext cx="1266825" cy="542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20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Semob</a:t>
          </a:r>
        </a:p>
      </xdr:txBody>
    </xdr:sp>
    <xdr:clientData/>
  </xdr:twoCellAnchor>
  <xdr:twoCellAnchor>
    <xdr:from>
      <xdr:col>4</xdr:col>
      <xdr:colOff>123825</xdr:colOff>
      <xdr:row>0</xdr:row>
      <xdr:rowOff>47625</xdr:rowOff>
    </xdr:from>
    <xdr:to>
      <xdr:col>5</xdr:col>
      <xdr:colOff>704850</xdr:colOff>
      <xdr:row>2</xdr:row>
      <xdr:rowOff>123825</xdr:rowOff>
    </xdr:to>
    <xdr:sp macro="" textlink="">
      <xdr:nvSpPr>
        <xdr:cNvPr id="1027" name="Word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950" y="47625"/>
          <a:ext cx="1266825" cy="542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20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Semob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504265</xdr:colOff>
      <xdr:row>0</xdr:row>
      <xdr:rowOff>89646</xdr:rowOff>
    </xdr:from>
    <xdr:to>
      <xdr:col>7</xdr:col>
      <xdr:colOff>463179</xdr:colOff>
      <xdr:row>0</xdr:row>
      <xdr:rowOff>1064559</xdr:rowOff>
    </xdr:to>
    <xdr:pic>
      <xdr:nvPicPr>
        <xdr:cNvPr id="3" name="Picture 9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912" y="89646"/>
          <a:ext cx="5991225" cy="9749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333720</xdr:colOff>
      <xdr:row>0</xdr:row>
      <xdr:rowOff>76320</xdr:rowOff>
    </xdr:from>
    <xdr:to>
      <xdr:col>9</xdr:col>
      <xdr:colOff>262410</xdr:colOff>
      <xdr:row>0</xdr:row>
      <xdr:rowOff>834840</xdr:rowOff>
    </xdr:to>
    <xdr:pic>
      <xdr:nvPicPr>
        <xdr:cNvPr id="2" name="Picture 9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72345" y="76320"/>
          <a:ext cx="4538790" cy="758520"/>
        </a:xfrm>
        <a:prstGeom prst="rect">
          <a:avLst/>
        </a:prstGeom>
        <a:ln w="1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220756</xdr:colOff>
      <xdr:row>0</xdr:row>
      <xdr:rowOff>112061</xdr:rowOff>
    </xdr:from>
    <xdr:to>
      <xdr:col>8</xdr:col>
      <xdr:colOff>407374</xdr:colOff>
      <xdr:row>0</xdr:row>
      <xdr:rowOff>918885</xdr:rowOff>
    </xdr:to>
    <xdr:pic>
      <xdr:nvPicPr>
        <xdr:cNvPr id="2" name="Picture 9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756" y="112061"/>
          <a:ext cx="7149393" cy="80682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220756</xdr:colOff>
      <xdr:row>0</xdr:row>
      <xdr:rowOff>112061</xdr:rowOff>
    </xdr:from>
    <xdr:to>
      <xdr:col>8</xdr:col>
      <xdr:colOff>407374</xdr:colOff>
      <xdr:row>0</xdr:row>
      <xdr:rowOff>918885</xdr:rowOff>
    </xdr:to>
    <xdr:pic>
      <xdr:nvPicPr>
        <xdr:cNvPr id="2" name="Picture 9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756" y="112061"/>
          <a:ext cx="7156677" cy="80682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220756</xdr:colOff>
      <xdr:row>0</xdr:row>
      <xdr:rowOff>112061</xdr:rowOff>
    </xdr:from>
    <xdr:to>
      <xdr:col>8</xdr:col>
      <xdr:colOff>172051</xdr:colOff>
      <xdr:row>0</xdr:row>
      <xdr:rowOff>918885</xdr:rowOff>
    </xdr:to>
    <xdr:pic>
      <xdr:nvPicPr>
        <xdr:cNvPr id="2" name="Picture 94">
          <a:extLst>
            <a:ext uri="{FF2B5EF4-FFF2-40B4-BE49-F238E27FC236}">
              <a16:creationId xmlns:a16="http://schemas.microsoft.com/office/drawing/2014/main" id="{32C96503-E66B-4A33-9F2D-8CBE37AE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756" y="112061"/>
          <a:ext cx="7149393" cy="80682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aiocco\Desktop\Pl.%20Unid.%20Habitacionais%20Nova%20Conquista%20-%2032u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otal"/>
      <sheetName val="ORÇAMENTO (3)"/>
      <sheetName val="PLANILHA ORÇAMENTÁRIA"/>
      <sheetName val="ORÇAMENTO"/>
      <sheetName val="Memorial de Cálculos"/>
      <sheetName val="COMP-01"/>
      <sheetName val="COMP-02"/>
      <sheetName val="Cronograma Físico Financeiro"/>
      <sheetName val="cronograma (2)"/>
      <sheetName val="cronograma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SERVIÇOS COMUNS À TODAS AS UNIDADES HABITACIONAIS</v>
          </cell>
        </row>
        <row r="9">
          <cell r="D9" t="str">
            <v>INSTALAÇÃO DO CANTEIRO DE OBRAS</v>
          </cell>
        </row>
        <row r="20">
          <cell r="D20" t="str">
            <v>SERVIÇOS PRELIMINARES</v>
          </cell>
        </row>
        <row r="24">
          <cell r="D24" t="str">
            <v>MOVIMENTO DE TERRA</v>
          </cell>
        </row>
        <row r="32">
          <cell r="D32" t="str">
            <v>ESTRUTURAS</v>
          </cell>
        </row>
        <row r="47">
          <cell r="D47" t="str">
            <v>PAREDES E PAINÉIS</v>
          </cell>
        </row>
        <row r="52">
          <cell r="D52" t="str">
            <v>TETOS E FORROS</v>
          </cell>
        </row>
        <row r="57">
          <cell r="D57" t="str">
            <v>REVESTIMENTO DE PAREDES</v>
          </cell>
        </row>
        <row r="65">
          <cell r="D65" t="str">
            <v>ESQUADRIAS DE MADEIRA</v>
          </cell>
        </row>
        <row r="79">
          <cell r="D79" t="str">
            <v>ESQUADRIAS METÁLICAS</v>
          </cell>
        </row>
        <row r="86">
          <cell r="D86" t="str">
            <v>VIDROS E ESPELHOS</v>
          </cell>
        </row>
        <row r="91">
          <cell r="D91" t="str">
            <v>COBERTURA</v>
          </cell>
        </row>
        <row r="99">
          <cell r="D99" t="str">
            <v>PISOS INTERNOS E EXTERNOS</v>
          </cell>
        </row>
        <row r="109">
          <cell r="D109" t="str">
            <v>INSTALAÇÃO HIDRO-SANITÁRIAS</v>
          </cell>
        </row>
        <row r="130">
          <cell r="D130" t="str">
            <v>APARELHOS HIDRO-SANITÁRIOS</v>
          </cell>
        </row>
        <row r="141">
          <cell r="D141" t="str">
            <v>APARELHOS ELETRICOS</v>
          </cell>
        </row>
        <row r="154">
          <cell r="D154" t="str">
            <v>INSTALAÇÃO ELÉTRICA</v>
          </cell>
        </row>
        <row r="165">
          <cell r="D165" t="str">
            <v>PINTURA</v>
          </cell>
        </row>
        <row r="175">
          <cell r="D175" t="str">
            <v>CALÇADA</v>
          </cell>
        </row>
        <row r="185">
          <cell r="D185" t="str">
            <v>TRATAMENTO, CONSERVAÇÃO E LIMPEZA</v>
          </cell>
        </row>
        <row r="192">
          <cell r="D192" t="str">
            <v>SERVIÇOS PRELIMINARES</v>
          </cell>
        </row>
        <row r="196">
          <cell r="D196" t="str">
            <v>MOVIMENTO DE TERRA</v>
          </cell>
        </row>
        <row r="204">
          <cell r="D204" t="str">
            <v>ESTRUTURAS</v>
          </cell>
        </row>
        <row r="219">
          <cell r="D219" t="str">
            <v>PAREDES E PAINÉIS</v>
          </cell>
        </row>
        <row r="224">
          <cell r="D224" t="str">
            <v>TETOS E FORROS</v>
          </cell>
        </row>
        <row r="229">
          <cell r="D229" t="str">
            <v>REVESTIMENTO DE PAREDES</v>
          </cell>
        </row>
        <row r="237">
          <cell r="D237" t="str">
            <v>ESQUADRIAS DE MADEIRA</v>
          </cell>
        </row>
        <row r="252">
          <cell r="D252" t="str">
            <v>ESQUADRIAS METÁLICAS</v>
          </cell>
        </row>
        <row r="259">
          <cell r="D259" t="str">
            <v>VIDROS E ESPELHOS</v>
          </cell>
        </row>
        <row r="264">
          <cell r="D264" t="str">
            <v>COBERTURA</v>
          </cell>
        </row>
        <row r="272">
          <cell r="D272" t="str">
            <v>PISOS INTERNOS E EXTERNOS</v>
          </cell>
        </row>
        <row r="282">
          <cell r="D282" t="str">
            <v>INSTALAÇÃO HIDRO-SANITÁRIAS</v>
          </cell>
        </row>
        <row r="303">
          <cell r="D303" t="str">
            <v>APARELHOS HIDRO-SANITÁRIOS</v>
          </cell>
        </row>
        <row r="315">
          <cell r="D315" t="str">
            <v>APARELHOS ELETRICOS</v>
          </cell>
        </row>
        <row r="328">
          <cell r="D328" t="str">
            <v>INSTALAÇÃO ELÉTRICA</v>
          </cell>
        </row>
        <row r="339">
          <cell r="D339" t="str">
            <v>PINTURA</v>
          </cell>
        </row>
        <row r="349">
          <cell r="D349" t="str">
            <v>CALÇADA</v>
          </cell>
        </row>
        <row r="359">
          <cell r="D359" t="str">
            <v>TRATAMENTO, CONSERVAÇÃO E LIMPEZA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2.rio.rj.gov.br/sco/composicaosco.cfm?item=1RV09050350A202101" TargetMode="External"/><Relationship Id="rId1" Type="http://schemas.openxmlformats.org/officeDocument/2006/relationships/hyperlink" Target="http://www2.rio.rj.gov.br/sco/composicaosco.cfm?item=1RV09050350A202101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I193"/>
  <sheetViews>
    <sheetView topLeftCell="A103" workbookViewId="0">
      <selection activeCell="D115" sqref="D115"/>
    </sheetView>
  </sheetViews>
  <sheetFormatPr defaultRowHeight="12.75" x14ac:dyDescent="0.2"/>
  <cols>
    <col min="1" max="1" width="6.85546875" customWidth="1"/>
    <col min="2" max="2" width="60.7109375" customWidth="1"/>
    <col min="3" max="3" width="5.7109375" customWidth="1"/>
    <col min="4" max="5" width="10.28515625" customWidth="1"/>
    <col min="6" max="6" width="11.7109375" customWidth="1"/>
    <col min="7" max="7" width="12.28515625" customWidth="1"/>
    <col min="8" max="8" width="11.140625" customWidth="1"/>
    <col min="9" max="9" width="9.28515625" bestFit="1" customWidth="1"/>
  </cols>
  <sheetData>
    <row r="1" spans="1:8" ht="24" customHeight="1" x14ac:dyDescent="0.2">
      <c r="A1" s="530"/>
      <c r="B1" s="531"/>
      <c r="C1" s="531"/>
      <c r="D1" s="531"/>
      <c r="E1" s="35"/>
      <c r="F1" s="36"/>
      <c r="G1" s="37" t="s">
        <v>0</v>
      </c>
      <c r="H1" s="57">
        <v>38488</v>
      </c>
    </row>
    <row r="2" spans="1:8" ht="12.75" customHeight="1" x14ac:dyDescent="0.2">
      <c r="A2" s="532" t="s">
        <v>22</v>
      </c>
      <c r="B2" s="533"/>
      <c r="C2" s="533"/>
      <c r="D2" s="533"/>
      <c r="E2" s="3"/>
      <c r="F2" s="4"/>
      <c r="G2" s="5" t="s">
        <v>1</v>
      </c>
      <c r="H2" s="58">
        <v>38488</v>
      </c>
    </row>
    <row r="3" spans="1:8" ht="12.75" customHeight="1" x14ac:dyDescent="0.2">
      <c r="A3" s="534" t="s">
        <v>34</v>
      </c>
      <c r="B3" s="535"/>
      <c r="C3" s="535"/>
      <c r="D3" s="536"/>
      <c r="E3" s="6"/>
      <c r="F3" s="7"/>
      <c r="G3" s="8" t="s">
        <v>2</v>
      </c>
      <c r="H3" s="38"/>
    </row>
    <row r="4" spans="1:8" ht="12.75" customHeight="1" x14ac:dyDescent="0.2">
      <c r="A4" s="39" t="s">
        <v>35</v>
      </c>
      <c r="B4" s="9"/>
      <c r="C4" s="9"/>
      <c r="D4" s="10"/>
      <c r="E4" s="1"/>
      <c r="F4" s="2"/>
      <c r="G4" s="11"/>
      <c r="H4" s="40"/>
    </row>
    <row r="5" spans="1:8" ht="12.75" customHeight="1" x14ac:dyDescent="0.2">
      <c r="A5" s="41" t="s">
        <v>28</v>
      </c>
      <c r="B5" s="12"/>
      <c r="C5" s="12"/>
      <c r="D5" s="12"/>
      <c r="E5" s="541" t="s">
        <v>21</v>
      </c>
      <c r="F5" s="542"/>
      <c r="G5" s="539" t="s">
        <v>20</v>
      </c>
      <c r="H5" s="540"/>
    </row>
    <row r="6" spans="1:8" ht="12.75" customHeight="1" x14ac:dyDescent="0.2">
      <c r="A6" s="42" t="s">
        <v>31</v>
      </c>
      <c r="B6" s="13"/>
      <c r="C6" s="13"/>
      <c r="D6" s="13"/>
      <c r="E6" s="537" t="s">
        <v>3</v>
      </c>
      <c r="F6" s="538"/>
      <c r="G6" s="537" t="s">
        <v>4</v>
      </c>
      <c r="H6" s="543"/>
    </row>
    <row r="7" spans="1:8" ht="6" customHeight="1" x14ac:dyDescent="0.2">
      <c r="A7" s="511"/>
      <c r="B7" s="512"/>
      <c r="C7" s="512"/>
      <c r="D7" s="512"/>
      <c r="E7" s="512"/>
      <c r="F7" s="512"/>
      <c r="G7" s="512"/>
      <c r="H7" s="513"/>
    </row>
    <row r="8" spans="1:8" x14ac:dyDescent="0.2">
      <c r="A8" s="522" t="s">
        <v>5</v>
      </c>
      <c r="B8" s="524" t="s">
        <v>6</v>
      </c>
      <c r="C8" s="526" t="s">
        <v>7</v>
      </c>
      <c r="D8" s="526" t="s">
        <v>8</v>
      </c>
      <c r="E8" s="24" t="s">
        <v>9</v>
      </c>
      <c r="F8" s="24" t="s">
        <v>10</v>
      </c>
      <c r="G8" s="528" t="s">
        <v>11</v>
      </c>
      <c r="H8" s="520" t="s">
        <v>12</v>
      </c>
    </row>
    <row r="9" spans="1:8" x14ac:dyDescent="0.2">
      <c r="A9" s="523"/>
      <c r="B9" s="525"/>
      <c r="C9" s="527"/>
      <c r="D9" s="527"/>
      <c r="E9" s="50" t="s">
        <v>13</v>
      </c>
      <c r="F9" s="50" t="s">
        <v>14</v>
      </c>
      <c r="G9" s="529"/>
      <c r="H9" s="521"/>
    </row>
    <row r="10" spans="1:8" ht="7.5" customHeight="1" x14ac:dyDescent="0.2">
      <c r="A10" s="44"/>
      <c r="B10" s="45"/>
      <c r="C10" s="46"/>
      <c r="D10" s="46"/>
      <c r="E10" s="47"/>
      <c r="F10" s="47"/>
      <c r="G10" s="48"/>
      <c r="H10" s="49"/>
    </row>
    <row r="11" spans="1:8" x14ac:dyDescent="0.2">
      <c r="A11" s="30" t="s">
        <v>23</v>
      </c>
      <c r="B11" s="31" t="s">
        <v>36</v>
      </c>
      <c r="C11" s="25"/>
      <c r="D11" s="26"/>
      <c r="E11" s="26"/>
      <c r="F11" s="26"/>
      <c r="G11" s="27"/>
      <c r="H11" s="65"/>
    </row>
    <row r="12" spans="1:8" x14ac:dyDescent="0.2">
      <c r="A12" s="28" t="s">
        <v>15</v>
      </c>
      <c r="B12" s="75" t="s">
        <v>37</v>
      </c>
      <c r="C12" s="76" t="s">
        <v>38</v>
      </c>
      <c r="D12" s="29">
        <v>38.47</v>
      </c>
      <c r="E12" s="15">
        <v>2.85</v>
      </c>
      <c r="F12" s="15">
        <f>D12*E12</f>
        <v>109.64</v>
      </c>
      <c r="G12" s="27"/>
      <c r="H12" s="43">
        <f>F12/$G$127</f>
        <v>9.0500000000000008E-3</v>
      </c>
    </row>
    <row r="13" spans="1:8" s="73" customFormat="1" ht="11.1" customHeight="1" thickBot="1" x14ac:dyDescent="0.25">
      <c r="A13" s="69"/>
      <c r="B13" s="70"/>
      <c r="C13" s="71"/>
      <c r="D13" s="72"/>
      <c r="E13" s="15"/>
      <c r="F13" s="15"/>
      <c r="G13" s="27"/>
      <c r="H13" s="43"/>
    </row>
    <row r="14" spans="1:8" ht="13.5" thickBot="1" x14ac:dyDescent="0.25">
      <c r="A14" s="66"/>
      <c r="B14" s="67"/>
      <c r="C14" s="55"/>
      <c r="D14" s="56"/>
      <c r="E14" s="51" t="s">
        <v>16</v>
      </c>
      <c r="F14" s="52"/>
      <c r="G14" s="53">
        <f>SUM(F11:F13)</f>
        <v>109.64</v>
      </c>
      <c r="H14" s="54">
        <f>SUM(H11:H12)</f>
        <v>9.0500000000000008E-3</v>
      </c>
    </row>
    <row r="15" spans="1:8" ht="11.1" customHeight="1" x14ac:dyDescent="0.2">
      <c r="A15" s="44"/>
      <c r="B15" s="68"/>
      <c r="C15" s="46"/>
      <c r="D15" s="46"/>
      <c r="E15" s="47"/>
      <c r="F15" s="47"/>
      <c r="G15" s="48"/>
      <c r="H15" s="49"/>
    </row>
    <row r="16" spans="1:8" x14ac:dyDescent="0.2">
      <c r="A16" s="30" t="s">
        <v>30</v>
      </c>
      <c r="B16" s="31" t="s">
        <v>39</v>
      </c>
      <c r="C16" s="25"/>
      <c r="D16" s="26"/>
      <c r="E16" s="26"/>
      <c r="F16" s="26"/>
      <c r="G16" s="27"/>
      <c r="H16" s="65"/>
    </row>
    <row r="17" spans="1:8" x14ac:dyDescent="0.2">
      <c r="A17" s="28" t="s">
        <v>33</v>
      </c>
      <c r="B17" s="75" t="s">
        <v>40</v>
      </c>
      <c r="C17" s="76" t="s">
        <v>41</v>
      </c>
      <c r="D17" s="29">
        <v>4.18</v>
      </c>
      <c r="E17" s="15">
        <v>12.69</v>
      </c>
      <c r="F17" s="15">
        <f t="shared" ref="F17:F22" si="0">D17*E17</f>
        <v>53.04</v>
      </c>
      <c r="G17" s="27"/>
      <c r="H17" s="43">
        <f t="shared" ref="H17:H22" si="1">F17/$G$127</f>
        <v>4.3800000000000002E-3</v>
      </c>
    </row>
    <row r="18" spans="1:8" x14ac:dyDescent="0.2">
      <c r="A18" s="66" t="s">
        <v>42</v>
      </c>
      <c r="B18" s="75" t="s">
        <v>43</v>
      </c>
      <c r="C18" s="76" t="s">
        <v>38</v>
      </c>
      <c r="D18" s="56">
        <v>16.71</v>
      </c>
      <c r="E18" s="15">
        <v>4.76</v>
      </c>
      <c r="F18" s="15">
        <f t="shared" si="0"/>
        <v>79.540000000000006</v>
      </c>
      <c r="G18" s="27"/>
      <c r="H18" s="43">
        <f t="shared" si="1"/>
        <v>6.5599999999999999E-3</v>
      </c>
    </row>
    <row r="19" spans="1:8" ht="21" x14ac:dyDescent="0.2">
      <c r="A19" s="66" t="s">
        <v>44</v>
      </c>
      <c r="B19" s="111" t="s">
        <v>162</v>
      </c>
      <c r="C19" s="112" t="s">
        <v>38</v>
      </c>
      <c r="D19" s="113">
        <v>15.65</v>
      </c>
      <c r="E19" s="114">
        <v>18.829999999999998</v>
      </c>
      <c r="F19" s="114">
        <f t="shared" si="0"/>
        <v>294.69</v>
      </c>
      <c r="G19" s="115"/>
      <c r="H19" s="116">
        <f t="shared" si="1"/>
        <v>2.4320000000000001E-2</v>
      </c>
    </row>
    <row r="20" spans="1:8" x14ac:dyDescent="0.2">
      <c r="A20" s="66" t="s">
        <v>45</v>
      </c>
      <c r="B20" s="75" t="s">
        <v>46</v>
      </c>
      <c r="C20" s="76" t="s">
        <v>41</v>
      </c>
      <c r="D20" s="56">
        <v>1.68</v>
      </c>
      <c r="E20" s="15">
        <v>177.98</v>
      </c>
      <c r="F20" s="15">
        <f t="shared" si="0"/>
        <v>299.01</v>
      </c>
      <c r="G20" s="85"/>
      <c r="H20" s="43">
        <f t="shared" si="1"/>
        <v>2.4670000000000001E-2</v>
      </c>
    </row>
    <row r="21" spans="1:8" ht="21" x14ac:dyDescent="0.2">
      <c r="A21" s="66" t="s">
        <v>47</v>
      </c>
      <c r="B21" s="75" t="s">
        <v>48</v>
      </c>
      <c r="C21" s="76" t="s">
        <v>41</v>
      </c>
      <c r="D21" s="79">
        <v>1.72</v>
      </c>
      <c r="E21" s="80">
        <v>179.51</v>
      </c>
      <c r="F21" s="80">
        <f t="shared" si="0"/>
        <v>308.76</v>
      </c>
      <c r="G21" s="81"/>
      <c r="H21" s="43">
        <f t="shared" si="1"/>
        <v>2.5479999999999999E-2</v>
      </c>
    </row>
    <row r="22" spans="1:8" x14ac:dyDescent="0.2">
      <c r="A22" s="66" t="s">
        <v>49</v>
      </c>
      <c r="B22" s="75" t="s">
        <v>50</v>
      </c>
      <c r="C22" s="78" t="s">
        <v>27</v>
      </c>
      <c r="D22" s="79">
        <v>78.260000000000005</v>
      </c>
      <c r="E22" s="80">
        <v>2.86</v>
      </c>
      <c r="F22" s="80">
        <f t="shared" si="0"/>
        <v>223.82</v>
      </c>
      <c r="G22" s="81"/>
      <c r="H22" s="43">
        <f t="shared" si="1"/>
        <v>1.847E-2</v>
      </c>
    </row>
    <row r="23" spans="1:8" s="73" customFormat="1" ht="11.1" customHeight="1" thickBot="1" x14ac:dyDescent="0.25">
      <c r="A23" s="69"/>
      <c r="B23" s="70"/>
      <c r="C23" s="71"/>
      <c r="D23" s="72"/>
      <c r="E23" s="15"/>
      <c r="F23" s="15"/>
      <c r="G23" s="27"/>
      <c r="H23" s="43"/>
    </row>
    <row r="24" spans="1:8" ht="13.5" thickBot="1" x14ac:dyDescent="0.25">
      <c r="A24" s="66"/>
      <c r="B24" s="67"/>
      <c r="C24" s="55"/>
      <c r="D24" s="56"/>
      <c r="E24" s="51" t="s">
        <v>16</v>
      </c>
      <c r="F24" s="52"/>
      <c r="G24" s="53">
        <f>SUM(F16:F23)</f>
        <v>1258.8599999999999</v>
      </c>
      <c r="H24" s="54">
        <f>SUM(H16:H23)</f>
        <v>0.10388</v>
      </c>
    </row>
    <row r="25" spans="1:8" ht="11.1" customHeight="1" x14ac:dyDescent="0.2">
      <c r="A25" s="44"/>
      <c r="B25" s="68"/>
      <c r="C25" s="46"/>
      <c r="D25" s="46"/>
      <c r="E25" s="47"/>
      <c r="F25" s="47"/>
      <c r="G25" s="48"/>
      <c r="H25" s="49"/>
    </row>
    <row r="26" spans="1:8" x14ac:dyDescent="0.2">
      <c r="A26" s="30" t="s">
        <v>51</v>
      </c>
      <c r="B26" s="31" t="s">
        <v>52</v>
      </c>
      <c r="C26" s="25"/>
      <c r="D26" s="26"/>
      <c r="E26" s="26"/>
      <c r="F26" s="26"/>
      <c r="G26" s="27"/>
      <c r="H26" s="65"/>
    </row>
    <row r="27" spans="1:8" ht="23.25" customHeight="1" x14ac:dyDescent="0.2">
      <c r="A27" s="28" t="s">
        <v>53</v>
      </c>
      <c r="B27" s="75" t="s">
        <v>161</v>
      </c>
      <c r="C27" s="76" t="s">
        <v>38</v>
      </c>
      <c r="D27" s="83">
        <v>92.69</v>
      </c>
      <c r="E27" s="80">
        <v>15.03</v>
      </c>
      <c r="F27" s="80">
        <f>D27*E27</f>
        <v>1393.13</v>
      </c>
      <c r="G27" s="81"/>
      <c r="H27" s="82">
        <f>F27/$G$127</f>
        <v>0.11496000000000001</v>
      </c>
    </row>
    <row r="28" spans="1:8" ht="31.5" x14ac:dyDescent="0.2">
      <c r="A28" s="66" t="s">
        <v>54</v>
      </c>
      <c r="B28" s="84" t="s">
        <v>163</v>
      </c>
      <c r="C28" s="76" t="s">
        <v>41</v>
      </c>
      <c r="D28" s="79">
        <v>0.3</v>
      </c>
      <c r="E28" s="80">
        <v>179.51</v>
      </c>
      <c r="F28" s="80">
        <f>D28*E28</f>
        <v>53.85</v>
      </c>
      <c r="G28" s="81"/>
      <c r="H28" s="82">
        <f>F28/$G$127</f>
        <v>4.4400000000000004E-3</v>
      </c>
    </row>
    <row r="29" spans="1:8" x14ac:dyDescent="0.2">
      <c r="A29" s="66" t="s">
        <v>55</v>
      </c>
      <c r="B29" s="75" t="s">
        <v>69</v>
      </c>
      <c r="C29" s="76" t="s">
        <v>27</v>
      </c>
      <c r="D29" s="79">
        <v>13.8</v>
      </c>
      <c r="E29" s="80">
        <v>2.86</v>
      </c>
      <c r="F29" s="80">
        <f>D29*E29</f>
        <v>39.47</v>
      </c>
      <c r="G29" s="81"/>
      <c r="H29" s="82">
        <f>F29/$G$127</f>
        <v>3.2599999999999999E-3</v>
      </c>
    </row>
    <row r="30" spans="1:8" ht="21" x14ac:dyDescent="0.2">
      <c r="A30" s="66" t="s">
        <v>56</v>
      </c>
      <c r="B30" s="75" t="s">
        <v>59</v>
      </c>
      <c r="C30" s="76" t="s">
        <v>38</v>
      </c>
      <c r="D30" s="79">
        <v>72.36</v>
      </c>
      <c r="E30" s="80">
        <v>2.0299999999999998</v>
      </c>
      <c r="F30" s="80">
        <f>D30*E30</f>
        <v>146.88999999999999</v>
      </c>
      <c r="G30" s="81"/>
      <c r="H30" s="82">
        <f>F30/$G$127</f>
        <v>1.2120000000000001E-2</v>
      </c>
    </row>
    <row r="31" spans="1:8" ht="21" x14ac:dyDescent="0.2">
      <c r="A31" s="66" t="s">
        <v>57</v>
      </c>
      <c r="B31" s="75" t="s">
        <v>58</v>
      </c>
      <c r="C31" s="76" t="s">
        <v>38</v>
      </c>
      <c r="D31" s="79">
        <v>72.36</v>
      </c>
      <c r="E31" s="80">
        <v>4.8</v>
      </c>
      <c r="F31" s="80">
        <f>D31*E31</f>
        <v>347.33</v>
      </c>
      <c r="G31" s="81"/>
      <c r="H31" s="82">
        <f>F31/$G$127</f>
        <v>2.8660000000000001E-2</v>
      </c>
    </row>
    <row r="32" spans="1:8" s="73" customFormat="1" ht="11.1" customHeight="1" thickBot="1" x14ac:dyDescent="0.25">
      <c r="A32" s="69"/>
      <c r="B32" s="70"/>
      <c r="C32" s="71"/>
      <c r="D32" s="72"/>
      <c r="E32" s="15"/>
      <c r="F32" s="15"/>
      <c r="G32" s="27"/>
      <c r="H32" s="43"/>
    </row>
    <row r="33" spans="1:8" ht="13.5" thickBot="1" x14ac:dyDescent="0.25">
      <c r="A33" s="66"/>
      <c r="B33" s="67"/>
      <c r="C33" s="55"/>
      <c r="D33" s="56"/>
      <c r="E33" s="51" t="s">
        <v>16</v>
      </c>
      <c r="F33" s="52"/>
      <c r="G33" s="53">
        <f>SUM(F26:F32)</f>
        <v>1980.67</v>
      </c>
      <c r="H33" s="54">
        <f>SUM(H26:H31)</f>
        <v>0.16344</v>
      </c>
    </row>
    <row r="34" spans="1:8" ht="11.1" customHeight="1" x14ac:dyDescent="0.2">
      <c r="A34" s="44"/>
      <c r="B34" s="68"/>
      <c r="C34" s="46"/>
      <c r="D34" s="46"/>
      <c r="E34" s="47"/>
      <c r="F34" s="47"/>
      <c r="G34" s="48"/>
      <c r="H34" s="49"/>
    </row>
    <row r="35" spans="1:8" x14ac:dyDescent="0.2">
      <c r="A35" s="30" t="s">
        <v>60</v>
      </c>
      <c r="B35" s="31" t="s">
        <v>61</v>
      </c>
      <c r="C35" s="25"/>
      <c r="D35" s="26"/>
      <c r="E35" s="26"/>
      <c r="F35" s="26"/>
      <c r="G35" s="27"/>
      <c r="H35" s="65"/>
    </row>
    <row r="36" spans="1:8" x14ac:dyDescent="0.2">
      <c r="A36" s="28" t="s">
        <v>62</v>
      </c>
      <c r="B36" s="75" t="s">
        <v>117</v>
      </c>
      <c r="C36" s="76" t="s">
        <v>67</v>
      </c>
      <c r="D36" s="83">
        <v>3</v>
      </c>
      <c r="E36" s="80">
        <v>195.88</v>
      </c>
      <c r="F36" s="80">
        <f>D36*E36</f>
        <v>587.64</v>
      </c>
      <c r="G36" s="81"/>
      <c r="H36" s="82">
        <f>F36/$G$127</f>
        <v>4.8489999999999998E-2</v>
      </c>
    </row>
    <row r="37" spans="1:8" x14ac:dyDescent="0.2">
      <c r="A37" s="66" t="s">
        <v>63</v>
      </c>
      <c r="B37" s="84" t="s">
        <v>118</v>
      </c>
      <c r="C37" s="76" t="s">
        <v>67</v>
      </c>
      <c r="D37" s="79">
        <v>2</v>
      </c>
      <c r="E37" s="80">
        <v>184.98</v>
      </c>
      <c r="F37" s="80">
        <f>D37*E37</f>
        <v>369.96</v>
      </c>
      <c r="G37" s="81"/>
      <c r="H37" s="82">
        <f>F37/$G$127</f>
        <v>3.0530000000000002E-2</v>
      </c>
    </row>
    <row r="38" spans="1:8" ht="21" x14ac:dyDescent="0.2">
      <c r="A38" s="87" t="s">
        <v>64</v>
      </c>
      <c r="B38" s="75" t="s">
        <v>119</v>
      </c>
      <c r="C38" s="76" t="s">
        <v>67</v>
      </c>
      <c r="D38" s="83">
        <v>1</v>
      </c>
      <c r="E38" s="80">
        <v>186.65</v>
      </c>
      <c r="F38" s="80">
        <f>D38*E38</f>
        <v>186.65</v>
      </c>
      <c r="G38" s="81"/>
      <c r="H38" s="82">
        <f>F38/$G$127</f>
        <v>1.54E-2</v>
      </c>
    </row>
    <row r="39" spans="1:8" ht="21" x14ac:dyDescent="0.2">
      <c r="A39" s="87" t="s">
        <v>65</v>
      </c>
      <c r="B39" s="75" t="s">
        <v>120</v>
      </c>
      <c r="C39" s="76" t="s">
        <v>67</v>
      </c>
      <c r="D39" s="83">
        <v>2</v>
      </c>
      <c r="E39" s="80">
        <v>186.88</v>
      </c>
      <c r="F39" s="80">
        <f>D39*E39</f>
        <v>373.76</v>
      </c>
      <c r="G39" s="81"/>
      <c r="H39" s="82">
        <f>F39/$G$127</f>
        <v>3.0839999999999999E-2</v>
      </c>
    </row>
    <row r="40" spans="1:8" ht="21" x14ac:dyDescent="0.2">
      <c r="A40" s="66" t="s">
        <v>66</v>
      </c>
      <c r="B40" s="75" t="s">
        <v>121</v>
      </c>
      <c r="C40" s="76" t="s">
        <v>67</v>
      </c>
      <c r="D40" s="79">
        <v>2</v>
      </c>
      <c r="E40" s="80">
        <v>393.23</v>
      </c>
      <c r="F40" s="80">
        <f>D40*E40</f>
        <v>786.46</v>
      </c>
      <c r="G40" s="81"/>
      <c r="H40" s="82">
        <f>F40/$G$127</f>
        <v>6.4899999999999999E-2</v>
      </c>
    </row>
    <row r="41" spans="1:8" s="73" customFormat="1" ht="11.1" customHeight="1" thickBot="1" x14ac:dyDescent="0.25">
      <c r="A41" s="69"/>
      <c r="B41" s="70"/>
      <c r="C41" s="71"/>
      <c r="D41" s="72"/>
      <c r="E41" s="15"/>
      <c r="F41" s="15"/>
      <c r="G41" s="27"/>
      <c r="H41" s="43"/>
    </row>
    <row r="42" spans="1:8" ht="13.5" thickBot="1" x14ac:dyDescent="0.25">
      <c r="A42" s="66"/>
      <c r="B42" s="67"/>
      <c r="C42" s="55"/>
      <c r="D42" s="56"/>
      <c r="E42" s="51" t="s">
        <v>16</v>
      </c>
      <c r="F42" s="52"/>
      <c r="G42" s="53">
        <f>SUM(F35:F41)</f>
        <v>2304.4699999999998</v>
      </c>
      <c r="H42" s="54">
        <f>SUM(H35:H40)</f>
        <v>0.19016</v>
      </c>
    </row>
    <row r="43" spans="1:8" ht="11.1" customHeight="1" x14ac:dyDescent="0.2">
      <c r="A43" s="44"/>
      <c r="B43" s="68"/>
      <c r="C43" s="46"/>
      <c r="D43" s="46"/>
      <c r="E43" s="47"/>
      <c r="F43" s="47"/>
      <c r="G43" s="48"/>
      <c r="H43" s="49"/>
    </row>
    <row r="44" spans="1:8" x14ac:dyDescent="0.2">
      <c r="A44" s="30" t="s">
        <v>68</v>
      </c>
      <c r="B44" s="31" t="s">
        <v>71</v>
      </c>
      <c r="C44" s="25"/>
      <c r="D44" s="26"/>
      <c r="E44" s="26"/>
      <c r="F44" s="26"/>
      <c r="G44" s="27"/>
      <c r="H44" s="65"/>
    </row>
    <row r="45" spans="1:8" ht="21" x14ac:dyDescent="0.2">
      <c r="A45" s="28" t="s">
        <v>122</v>
      </c>
      <c r="B45" s="75" t="s">
        <v>170</v>
      </c>
      <c r="C45" s="76" t="s">
        <v>171</v>
      </c>
      <c r="D45" s="83">
        <v>55.67</v>
      </c>
      <c r="E45" s="80">
        <v>49.71</v>
      </c>
      <c r="F45" s="80">
        <f>D45*E45</f>
        <v>2767.36</v>
      </c>
      <c r="G45" s="27"/>
      <c r="H45" s="82">
        <f>F45/$G$127</f>
        <v>0.22835</v>
      </c>
    </row>
    <row r="46" spans="1:8" s="73" customFormat="1" ht="11.1" customHeight="1" thickBot="1" x14ac:dyDescent="0.25">
      <c r="A46" s="69"/>
      <c r="B46" s="70"/>
      <c r="C46" s="71"/>
      <c r="D46" s="72"/>
      <c r="E46" s="15"/>
      <c r="F46" s="15"/>
      <c r="G46" s="27"/>
      <c r="H46" s="43"/>
    </row>
    <row r="47" spans="1:8" ht="13.5" thickBot="1" x14ac:dyDescent="0.25">
      <c r="A47" s="66"/>
      <c r="B47" s="67"/>
      <c r="C47" s="55"/>
      <c r="D47" s="56"/>
      <c r="E47" s="51" t="s">
        <v>16</v>
      </c>
      <c r="F47" s="52"/>
      <c r="G47" s="53">
        <f>SUM(F44:F46)</f>
        <v>2767.36</v>
      </c>
      <c r="H47" s="54">
        <f>SUM(H44:H46)</f>
        <v>0.22835</v>
      </c>
    </row>
    <row r="48" spans="1:8" ht="11.1" customHeight="1" x14ac:dyDescent="0.2">
      <c r="A48" s="44"/>
      <c r="B48" s="68"/>
      <c r="C48" s="46"/>
      <c r="D48" s="46"/>
      <c r="E48" s="47"/>
      <c r="F48" s="47"/>
      <c r="G48" s="48"/>
      <c r="H48" s="49"/>
    </row>
    <row r="49" spans="1:8" x14ac:dyDescent="0.2">
      <c r="A49" s="30" t="s">
        <v>70</v>
      </c>
      <c r="B49" s="31" t="s">
        <v>75</v>
      </c>
      <c r="C49" s="25"/>
      <c r="D49" s="26"/>
      <c r="E49" s="26"/>
      <c r="F49" s="26"/>
      <c r="G49" s="27"/>
      <c r="H49" s="65"/>
    </row>
    <row r="50" spans="1:8" x14ac:dyDescent="0.2">
      <c r="A50" s="28" t="s">
        <v>72</v>
      </c>
      <c r="B50" s="75" t="s">
        <v>123</v>
      </c>
      <c r="C50" s="76" t="s">
        <v>38</v>
      </c>
      <c r="D50" s="83">
        <v>38.47</v>
      </c>
      <c r="E50" s="80">
        <v>11.85</v>
      </c>
      <c r="F50" s="80">
        <f>D50*E50</f>
        <v>455.87</v>
      </c>
      <c r="G50" s="27"/>
      <c r="H50" s="82">
        <f>F50/$G$127</f>
        <v>3.7620000000000001E-2</v>
      </c>
    </row>
    <row r="51" spans="1:8" x14ac:dyDescent="0.2">
      <c r="A51" s="66" t="s">
        <v>73</v>
      </c>
      <c r="B51" s="75" t="s">
        <v>124</v>
      </c>
      <c r="C51" s="76" t="s">
        <v>38</v>
      </c>
      <c r="D51" s="79">
        <v>38.47</v>
      </c>
      <c r="E51" s="80">
        <v>10.83</v>
      </c>
      <c r="F51" s="80">
        <f>D51*E51</f>
        <v>416.63</v>
      </c>
      <c r="G51" s="27"/>
      <c r="H51" s="82">
        <f>F51/$G$127</f>
        <v>3.4380000000000001E-2</v>
      </c>
    </row>
    <row r="52" spans="1:8" s="73" customFormat="1" ht="11.1" customHeight="1" thickBot="1" x14ac:dyDescent="0.25">
      <c r="A52" s="69"/>
      <c r="B52" s="75"/>
      <c r="C52" s="71"/>
      <c r="D52" s="72"/>
      <c r="E52" s="15"/>
      <c r="F52" s="15"/>
      <c r="G52" s="27"/>
      <c r="H52" s="43"/>
    </row>
    <row r="53" spans="1:8" ht="13.5" thickBot="1" x14ac:dyDescent="0.25">
      <c r="A53" s="66"/>
      <c r="B53" s="75"/>
      <c r="C53" s="55"/>
      <c r="D53" s="56"/>
      <c r="E53" s="51" t="s">
        <v>16</v>
      </c>
      <c r="F53" s="52"/>
      <c r="G53" s="53">
        <f>SUM(F49:F52)</f>
        <v>872.5</v>
      </c>
      <c r="H53" s="54">
        <f>SUM(H49:H51)</f>
        <v>7.1999999999999995E-2</v>
      </c>
    </row>
    <row r="54" spans="1:8" ht="11.1" customHeight="1" x14ac:dyDescent="0.2">
      <c r="A54" s="44"/>
      <c r="B54" s="68"/>
      <c r="C54" s="46"/>
      <c r="D54" s="46"/>
      <c r="E54" s="47"/>
      <c r="F54" s="47"/>
      <c r="G54" s="48"/>
      <c r="H54" s="49"/>
    </row>
    <row r="55" spans="1:8" x14ac:dyDescent="0.2">
      <c r="A55" s="30" t="s">
        <v>74</v>
      </c>
      <c r="B55" s="31" t="s">
        <v>79</v>
      </c>
      <c r="C55" s="25"/>
      <c r="D55" s="26"/>
      <c r="E55" s="26"/>
      <c r="F55" s="26"/>
      <c r="G55" s="27"/>
      <c r="H55" s="65"/>
    </row>
    <row r="56" spans="1:8" x14ac:dyDescent="0.2">
      <c r="A56" s="28" t="s">
        <v>76</v>
      </c>
      <c r="B56" s="75" t="s">
        <v>199</v>
      </c>
      <c r="C56" s="76" t="s">
        <v>67</v>
      </c>
      <c r="D56" s="83">
        <v>1</v>
      </c>
      <c r="E56" s="80">
        <v>150</v>
      </c>
      <c r="F56" s="80">
        <f t="shared" ref="F56:F79" si="2">D56*E56</f>
        <v>150</v>
      </c>
      <c r="G56" s="27"/>
      <c r="H56" s="82">
        <f t="shared" ref="H56:H79" si="3">F56/$G$127</f>
        <v>1.238E-2</v>
      </c>
    </row>
    <row r="57" spans="1:8" x14ac:dyDescent="0.2">
      <c r="A57" s="28" t="s">
        <v>77</v>
      </c>
      <c r="B57" s="75" t="s">
        <v>125</v>
      </c>
      <c r="C57" s="76" t="s">
        <v>67</v>
      </c>
      <c r="D57" s="79">
        <v>1</v>
      </c>
      <c r="E57" s="80">
        <v>286.42</v>
      </c>
      <c r="F57" s="80">
        <f t="shared" si="2"/>
        <v>286.42</v>
      </c>
      <c r="G57" s="27"/>
      <c r="H57" s="82">
        <f t="shared" si="3"/>
        <v>2.3630000000000002E-2</v>
      </c>
    </row>
    <row r="58" spans="1:8" x14ac:dyDescent="0.2">
      <c r="A58" s="28" t="s">
        <v>176</v>
      </c>
      <c r="B58" s="75" t="s">
        <v>175</v>
      </c>
      <c r="C58" s="76" t="s">
        <v>67</v>
      </c>
      <c r="D58" s="79">
        <v>1</v>
      </c>
      <c r="E58" s="80">
        <v>19.739999999999998</v>
      </c>
      <c r="F58" s="80">
        <f t="shared" si="2"/>
        <v>19.739999999999998</v>
      </c>
      <c r="G58" s="81"/>
      <c r="H58" s="82">
        <f t="shared" si="3"/>
        <v>1.6299999999999999E-3</v>
      </c>
    </row>
    <row r="59" spans="1:8" x14ac:dyDescent="0.2">
      <c r="A59" s="28" t="s">
        <v>177</v>
      </c>
      <c r="B59" s="75" t="s">
        <v>126</v>
      </c>
      <c r="C59" s="76" t="s">
        <v>27</v>
      </c>
      <c r="D59" s="79">
        <v>2.2000000000000002</v>
      </c>
      <c r="E59" s="80">
        <v>4.5999999999999996</v>
      </c>
      <c r="F59" s="80">
        <f t="shared" si="2"/>
        <v>10.119999999999999</v>
      </c>
      <c r="G59" s="81"/>
      <c r="H59" s="82">
        <f t="shared" si="3"/>
        <v>8.4000000000000003E-4</v>
      </c>
    </row>
    <row r="60" spans="1:8" x14ac:dyDescent="0.2">
      <c r="A60" s="28" t="s">
        <v>178</v>
      </c>
      <c r="B60" s="75" t="s">
        <v>127</v>
      </c>
      <c r="C60" s="76" t="s">
        <v>27</v>
      </c>
      <c r="D60" s="79">
        <v>3.15</v>
      </c>
      <c r="E60" s="80">
        <v>2.4700000000000002</v>
      </c>
      <c r="F60" s="80">
        <f t="shared" si="2"/>
        <v>7.78</v>
      </c>
      <c r="G60" s="27"/>
      <c r="H60" s="82">
        <f t="shared" si="3"/>
        <v>6.4000000000000005E-4</v>
      </c>
    </row>
    <row r="61" spans="1:8" x14ac:dyDescent="0.2">
      <c r="A61" s="28" t="s">
        <v>179</v>
      </c>
      <c r="B61" s="75" t="s">
        <v>128</v>
      </c>
      <c r="C61" s="76" t="s">
        <v>27</v>
      </c>
      <c r="D61" s="79">
        <v>12.4</v>
      </c>
      <c r="E61" s="80">
        <v>1.95</v>
      </c>
      <c r="F61" s="80">
        <f t="shared" si="2"/>
        <v>24.18</v>
      </c>
      <c r="G61" s="27"/>
      <c r="H61" s="82">
        <f t="shared" si="3"/>
        <v>2E-3</v>
      </c>
    </row>
    <row r="62" spans="1:8" x14ac:dyDescent="0.2">
      <c r="A62" s="28" t="s">
        <v>180</v>
      </c>
      <c r="B62" s="75" t="s">
        <v>129</v>
      </c>
      <c r="C62" s="78" t="s">
        <v>67</v>
      </c>
      <c r="D62" s="79">
        <v>1</v>
      </c>
      <c r="E62" s="80">
        <v>8.0399999999999991</v>
      </c>
      <c r="F62" s="80">
        <f t="shared" si="2"/>
        <v>8.0399999999999991</v>
      </c>
      <c r="G62" s="27"/>
      <c r="H62" s="82">
        <f t="shared" si="3"/>
        <v>6.6E-4</v>
      </c>
    </row>
    <row r="63" spans="1:8" ht="12.75" customHeight="1" x14ac:dyDescent="0.2">
      <c r="A63" s="28" t="s">
        <v>181</v>
      </c>
      <c r="B63" s="75" t="s">
        <v>130</v>
      </c>
      <c r="C63" s="78" t="s">
        <v>67</v>
      </c>
      <c r="D63" s="79">
        <v>1</v>
      </c>
      <c r="E63" s="80">
        <v>6.6</v>
      </c>
      <c r="F63" s="80">
        <f t="shared" si="2"/>
        <v>6.6</v>
      </c>
      <c r="G63" s="27"/>
      <c r="H63" s="82">
        <f t="shared" si="3"/>
        <v>5.4000000000000001E-4</v>
      </c>
    </row>
    <row r="64" spans="1:8" x14ac:dyDescent="0.2">
      <c r="A64" s="28" t="s">
        <v>182</v>
      </c>
      <c r="B64" s="75" t="s">
        <v>132</v>
      </c>
      <c r="C64" s="78" t="s">
        <v>67</v>
      </c>
      <c r="D64" s="79">
        <v>2</v>
      </c>
      <c r="E64" s="80">
        <v>2.96</v>
      </c>
      <c r="F64" s="80">
        <f t="shared" si="2"/>
        <v>5.92</v>
      </c>
      <c r="G64" s="27"/>
      <c r="H64" s="82">
        <f t="shared" si="3"/>
        <v>4.8999999999999998E-4</v>
      </c>
    </row>
    <row r="65" spans="1:9" x14ac:dyDescent="0.2">
      <c r="A65" s="28" t="s">
        <v>183</v>
      </c>
      <c r="B65" s="75" t="s">
        <v>133</v>
      </c>
      <c r="C65" s="78" t="s">
        <v>67</v>
      </c>
      <c r="D65" s="79">
        <v>2</v>
      </c>
      <c r="E65" s="80">
        <v>2.17</v>
      </c>
      <c r="F65" s="80">
        <f t="shared" si="2"/>
        <v>4.34</v>
      </c>
      <c r="G65" s="27"/>
      <c r="H65" s="82">
        <f t="shared" si="3"/>
        <v>3.6000000000000002E-4</v>
      </c>
    </row>
    <row r="66" spans="1:9" x14ac:dyDescent="0.2">
      <c r="A66" s="28" t="s">
        <v>184</v>
      </c>
      <c r="B66" s="75" t="s">
        <v>134</v>
      </c>
      <c r="C66" s="78" t="s">
        <v>67</v>
      </c>
      <c r="D66" s="79">
        <v>4</v>
      </c>
      <c r="E66" s="80">
        <v>1.97</v>
      </c>
      <c r="F66" s="80">
        <f t="shared" si="2"/>
        <v>7.88</v>
      </c>
      <c r="G66" s="27"/>
      <c r="H66" s="82">
        <f t="shared" si="3"/>
        <v>6.4999999999999997E-4</v>
      </c>
    </row>
    <row r="67" spans="1:9" x14ac:dyDescent="0.2">
      <c r="A67" s="28" t="s">
        <v>185</v>
      </c>
      <c r="B67" s="75" t="s">
        <v>131</v>
      </c>
      <c r="C67" s="78" t="s">
        <v>67</v>
      </c>
      <c r="D67" s="79">
        <v>3</v>
      </c>
      <c r="E67" s="80">
        <v>3.64</v>
      </c>
      <c r="F67" s="80">
        <f t="shared" si="2"/>
        <v>10.92</v>
      </c>
      <c r="G67" s="27"/>
      <c r="H67" s="82">
        <f t="shared" si="3"/>
        <v>8.9999999999999998E-4</v>
      </c>
    </row>
    <row r="68" spans="1:9" x14ac:dyDescent="0.2">
      <c r="A68" s="28" t="s">
        <v>186</v>
      </c>
      <c r="B68" s="75" t="s">
        <v>135</v>
      </c>
      <c r="C68" s="78" t="s">
        <v>67</v>
      </c>
      <c r="D68" s="79">
        <v>1</v>
      </c>
      <c r="E68" s="80">
        <v>3.28</v>
      </c>
      <c r="F68" s="80">
        <f t="shared" si="2"/>
        <v>3.28</v>
      </c>
      <c r="G68" s="27"/>
      <c r="H68" s="82">
        <f t="shared" si="3"/>
        <v>2.7E-4</v>
      </c>
    </row>
    <row r="69" spans="1:9" x14ac:dyDescent="0.2">
      <c r="A69" s="28" t="s">
        <v>187</v>
      </c>
      <c r="B69" s="75" t="s">
        <v>136</v>
      </c>
      <c r="C69" s="78" t="s">
        <v>67</v>
      </c>
      <c r="D69" s="79">
        <v>2</v>
      </c>
      <c r="E69" s="80">
        <v>2.52</v>
      </c>
      <c r="F69" s="80">
        <f t="shared" si="2"/>
        <v>5.04</v>
      </c>
      <c r="G69" s="27"/>
      <c r="H69" s="82">
        <f t="shared" si="3"/>
        <v>4.2000000000000002E-4</v>
      </c>
    </row>
    <row r="70" spans="1:9" x14ac:dyDescent="0.2">
      <c r="A70" s="28" t="s">
        <v>188</v>
      </c>
      <c r="B70" s="77" t="s">
        <v>167</v>
      </c>
      <c r="C70" s="78" t="s">
        <v>67</v>
      </c>
      <c r="D70" s="79">
        <v>1</v>
      </c>
      <c r="E70" s="80">
        <v>1</v>
      </c>
      <c r="F70" s="80">
        <f t="shared" si="2"/>
        <v>1</v>
      </c>
      <c r="G70" s="27"/>
      <c r="H70" s="82">
        <f t="shared" si="3"/>
        <v>8.0000000000000007E-5</v>
      </c>
    </row>
    <row r="71" spans="1:9" x14ac:dyDescent="0.2">
      <c r="A71" s="28" t="s">
        <v>189</v>
      </c>
      <c r="B71" s="75" t="s">
        <v>137</v>
      </c>
      <c r="C71" s="78" t="s">
        <v>67</v>
      </c>
      <c r="D71" s="79">
        <v>1</v>
      </c>
      <c r="E71" s="80">
        <v>14.82</v>
      </c>
      <c r="F71" s="80">
        <f t="shared" si="2"/>
        <v>14.82</v>
      </c>
      <c r="G71" s="27"/>
      <c r="H71" s="82">
        <f t="shared" si="3"/>
        <v>1.2199999999999999E-3</v>
      </c>
    </row>
    <row r="72" spans="1:9" x14ac:dyDescent="0.2">
      <c r="A72" s="28" t="s">
        <v>190</v>
      </c>
      <c r="B72" s="75" t="s">
        <v>138</v>
      </c>
      <c r="C72" s="76" t="s">
        <v>67</v>
      </c>
      <c r="D72" s="83">
        <v>1</v>
      </c>
      <c r="E72" s="80">
        <v>12.23</v>
      </c>
      <c r="F72" s="80">
        <f t="shared" si="2"/>
        <v>12.23</v>
      </c>
      <c r="G72" s="27"/>
      <c r="H72" s="82">
        <f t="shared" si="3"/>
        <v>1.01E-3</v>
      </c>
    </row>
    <row r="73" spans="1:9" x14ac:dyDescent="0.2">
      <c r="A73" s="28" t="s">
        <v>191</v>
      </c>
      <c r="B73" s="75" t="s">
        <v>168</v>
      </c>
      <c r="C73" s="76" t="s">
        <v>67</v>
      </c>
      <c r="D73" s="83">
        <v>1</v>
      </c>
      <c r="E73" s="80">
        <v>1</v>
      </c>
      <c r="F73" s="80">
        <f t="shared" si="2"/>
        <v>1</v>
      </c>
      <c r="G73" s="27"/>
      <c r="H73" s="82">
        <f t="shared" si="3"/>
        <v>8.0000000000000007E-5</v>
      </c>
    </row>
    <row r="74" spans="1:9" x14ac:dyDescent="0.2">
      <c r="A74" s="28" t="s">
        <v>192</v>
      </c>
      <c r="B74" s="77" t="s">
        <v>169</v>
      </c>
      <c r="C74" s="78" t="s">
        <v>67</v>
      </c>
      <c r="D74" s="79">
        <v>1</v>
      </c>
      <c r="E74" s="80">
        <v>3.7</v>
      </c>
      <c r="F74" s="80">
        <f t="shared" si="2"/>
        <v>3.7</v>
      </c>
      <c r="G74" s="27"/>
      <c r="H74" s="82">
        <f t="shared" si="3"/>
        <v>3.1E-4</v>
      </c>
    </row>
    <row r="75" spans="1:9" x14ac:dyDescent="0.2">
      <c r="A75" s="28" t="s">
        <v>193</v>
      </c>
      <c r="B75" s="84" t="s">
        <v>139</v>
      </c>
      <c r="C75" s="78" t="s">
        <v>67</v>
      </c>
      <c r="D75" s="79">
        <v>1</v>
      </c>
      <c r="E75" s="80">
        <v>127.21</v>
      </c>
      <c r="F75" s="80">
        <f t="shared" si="2"/>
        <v>127.21</v>
      </c>
      <c r="G75" s="27"/>
      <c r="H75" s="82">
        <f t="shared" si="3"/>
        <v>1.0500000000000001E-2</v>
      </c>
      <c r="I75" s="86"/>
    </row>
    <row r="76" spans="1:9" x14ac:dyDescent="0.2">
      <c r="A76" s="28" t="s">
        <v>194</v>
      </c>
      <c r="B76" s="84" t="s">
        <v>140</v>
      </c>
      <c r="C76" s="78" t="s">
        <v>67</v>
      </c>
      <c r="D76" s="79">
        <v>1</v>
      </c>
      <c r="E76" s="80">
        <v>41.74</v>
      </c>
      <c r="F76" s="80">
        <f t="shared" si="2"/>
        <v>41.74</v>
      </c>
      <c r="G76" s="27"/>
      <c r="H76" s="82">
        <f t="shared" si="3"/>
        <v>3.4399999999999999E-3</v>
      </c>
    </row>
    <row r="77" spans="1:9" ht="21" x14ac:dyDescent="0.2">
      <c r="A77" s="28" t="s">
        <v>195</v>
      </c>
      <c r="B77" s="77" t="s">
        <v>165</v>
      </c>
      <c r="C77" s="78" t="s">
        <v>67</v>
      </c>
      <c r="D77" s="79">
        <v>1</v>
      </c>
      <c r="E77" s="80">
        <v>118.98</v>
      </c>
      <c r="F77" s="80">
        <f t="shared" si="2"/>
        <v>118.98</v>
      </c>
      <c r="G77" s="27"/>
      <c r="H77" s="82">
        <f t="shared" si="3"/>
        <v>9.8200000000000006E-3</v>
      </c>
    </row>
    <row r="78" spans="1:9" x14ac:dyDescent="0.2">
      <c r="A78" s="28" t="s">
        <v>196</v>
      </c>
      <c r="B78" s="77" t="s">
        <v>164</v>
      </c>
      <c r="C78" s="78" t="s">
        <v>67</v>
      </c>
      <c r="D78" s="79">
        <v>1</v>
      </c>
      <c r="E78" s="80">
        <v>73.55</v>
      </c>
      <c r="F78" s="80">
        <f t="shared" si="2"/>
        <v>73.55</v>
      </c>
      <c r="G78" s="27"/>
      <c r="H78" s="82">
        <f t="shared" si="3"/>
        <v>6.0699999999999999E-3</v>
      </c>
    </row>
    <row r="79" spans="1:9" x14ac:dyDescent="0.2">
      <c r="A79" s="28" t="s">
        <v>197</v>
      </c>
      <c r="B79" s="77" t="s">
        <v>166</v>
      </c>
      <c r="C79" s="78" t="s">
        <v>67</v>
      </c>
      <c r="D79" s="79">
        <v>1</v>
      </c>
      <c r="E79" s="80">
        <v>9.75</v>
      </c>
      <c r="F79" s="80">
        <f t="shared" si="2"/>
        <v>9.75</v>
      </c>
      <c r="G79" s="27"/>
      <c r="H79" s="82">
        <f t="shared" si="3"/>
        <v>8.0000000000000004E-4</v>
      </c>
    </row>
    <row r="80" spans="1:9" s="73" customFormat="1" ht="11.1" customHeight="1" thickBot="1" x14ac:dyDescent="0.25">
      <c r="A80" s="69"/>
      <c r="B80" s="70"/>
      <c r="C80" s="71"/>
      <c r="D80" s="72"/>
      <c r="E80" s="15"/>
      <c r="F80" s="15"/>
      <c r="G80" s="27"/>
      <c r="H80" s="43"/>
    </row>
    <row r="81" spans="1:8" ht="13.5" thickBot="1" x14ac:dyDescent="0.25">
      <c r="A81" s="66"/>
      <c r="B81" s="67"/>
      <c r="C81" s="55"/>
      <c r="D81" s="56"/>
      <c r="E81" s="51" t="s">
        <v>16</v>
      </c>
      <c r="F81" s="52"/>
      <c r="G81" s="53">
        <f>SUM(F55:F80)</f>
        <v>954.24</v>
      </c>
      <c r="H81" s="54">
        <f>SUM(H55:H79)</f>
        <v>7.8740000000000004E-2</v>
      </c>
    </row>
    <row r="82" spans="1:8" ht="11.1" customHeight="1" x14ac:dyDescent="0.2">
      <c r="A82" s="44"/>
      <c r="B82" s="68"/>
      <c r="C82" s="46"/>
      <c r="D82" s="46"/>
      <c r="E82" s="47"/>
      <c r="F82" s="47"/>
      <c r="G82" s="48"/>
      <c r="H82" s="49"/>
    </row>
    <row r="83" spans="1:8" x14ac:dyDescent="0.2">
      <c r="A83" s="30" t="s">
        <v>78</v>
      </c>
      <c r="B83" s="31" t="s">
        <v>91</v>
      </c>
      <c r="C83" s="25"/>
      <c r="D83" s="26"/>
      <c r="E83" s="26"/>
      <c r="F83" s="26"/>
      <c r="G83" s="27"/>
      <c r="H83" s="65"/>
    </row>
    <row r="84" spans="1:8" x14ac:dyDescent="0.2">
      <c r="A84" s="28" t="s">
        <v>80</v>
      </c>
      <c r="B84" s="75" t="s">
        <v>141</v>
      </c>
      <c r="C84" s="76" t="s">
        <v>27</v>
      </c>
      <c r="D84" s="83">
        <v>8.1</v>
      </c>
      <c r="E84" s="80">
        <v>10.4</v>
      </c>
      <c r="F84" s="80">
        <f t="shared" ref="F84:F92" si="4">D84*E84</f>
        <v>84.24</v>
      </c>
      <c r="G84" s="27"/>
      <c r="H84" s="82">
        <f t="shared" ref="H84:H92" si="5">F84/$G$127</f>
        <v>6.9499999999999996E-3</v>
      </c>
    </row>
    <row r="85" spans="1:8" x14ac:dyDescent="0.2">
      <c r="A85" s="28" t="s">
        <v>81</v>
      </c>
      <c r="B85" s="75" t="s">
        <v>142</v>
      </c>
      <c r="C85" s="76" t="s">
        <v>27</v>
      </c>
      <c r="D85" s="79">
        <v>3.7</v>
      </c>
      <c r="E85" s="80">
        <v>6.41</v>
      </c>
      <c r="F85" s="80">
        <f t="shared" si="4"/>
        <v>23.72</v>
      </c>
      <c r="G85" s="27"/>
      <c r="H85" s="82">
        <f t="shared" si="5"/>
        <v>1.9599999999999999E-3</v>
      </c>
    </row>
    <row r="86" spans="1:8" x14ac:dyDescent="0.2">
      <c r="A86" s="28" t="s">
        <v>82</v>
      </c>
      <c r="B86" s="75" t="s">
        <v>143</v>
      </c>
      <c r="C86" s="76" t="s">
        <v>27</v>
      </c>
      <c r="D86" s="79">
        <v>6.9</v>
      </c>
      <c r="E86" s="80">
        <v>4.42</v>
      </c>
      <c r="F86" s="80">
        <f t="shared" si="4"/>
        <v>30.5</v>
      </c>
      <c r="G86" s="81"/>
      <c r="H86" s="82">
        <f t="shared" si="5"/>
        <v>2.5200000000000001E-3</v>
      </c>
    </row>
    <row r="87" spans="1:8" x14ac:dyDescent="0.2">
      <c r="A87" s="28" t="s">
        <v>83</v>
      </c>
      <c r="B87" s="75" t="s">
        <v>146</v>
      </c>
      <c r="C87" s="76" t="s">
        <v>67</v>
      </c>
      <c r="D87" s="79">
        <v>1</v>
      </c>
      <c r="E87" s="80">
        <v>9.2799999999999994</v>
      </c>
      <c r="F87" s="80">
        <f t="shared" si="4"/>
        <v>9.2799999999999994</v>
      </c>
      <c r="G87" s="81"/>
      <c r="H87" s="82">
        <f t="shared" si="5"/>
        <v>7.6999999999999996E-4</v>
      </c>
    </row>
    <row r="88" spans="1:8" x14ac:dyDescent="0.2">
      <c r="A88" s="28" t="s">
        <v>84</v>
      </c>
      <c r="B88" s="75" t="s">
        <v>145</v>
      </c>
      <c r="C88" s="76" t="s">
        <v>67</v>
      </c>
      <c r="D88" s="79">
        <v>6</v>
      </c>
      <c r="E88" s="80">
        <v>3.65</v>
      </c>
      <c r="F88" s="80">
        <f t="shared" si="4"/>
        <v>21.9</v>
      </c>
      <c r="G88" s="81"/>
      <c r="H88" s="82">
        <f t="shared" si="5"/>
        <v>1.81E-3</v>
      </c>
    </row>
    <row r="89" spans="1:8" x14ac:dyDescent="0.2">
      <c r="A89" s="28" t="s">
        <v>85</v>
      </c>
      <c r="B89" s="75" t="s">
        <v>144</v>
      </c>
      <c r="C89" s="76" t="s">
        <v>67</v>
      </c>
      <c r="D89" s="79">
        <v>2</v>
      </c>
      <c r="E89" s="80">
        <v>3.87</v>
      </c>
      <c r="F89" s="80">
        <f t="shared" si="4"/>
        <v>7.74</v>
      </c>
      <c r="G89" s="81"/>
      <c r="H89" s="82">
        <f t="shared" si="5"/>
        <v>6.4000000000000005E-4</v>
      </c>
    </row>
    <row r="90" spans="1:8" x14ac:dyDescent="0.2">
      <c r="A90" s="28" t="s">
        <v>87</v>
      </c>
      <c r="B90" s="75" t="s">
        <v>147</v>
      </c>
      <c r="C90" s="76" t="s">
        <v>67</v>
      </c>
      <c r="D90" s="79">
        <v>1</v>
      </c>
      <c r="E90" s="80">
        <v>9.15</v>
      </c>
      <c r="F90" s="80">
        <f t="shared" si="4"/>
        <v>9.15</v>
      </c>
      <c r="G90" s="81"/>
      <c r="H90" s="82">
        <f t="shared" si="5"/>
        <v>7.6000000000000004E-4</v>
      </c>
    </row>
    <row r="91" spans="1:8" x14ac:dyDescent="0.2">
      <c r="A91" s="28" t="s">
        <v>88</v>
      </c>
      <c r="B91" s="84" t="s">
        <v>148</v>
      </c>
      <c r="C91" s="76" t="s">
        <v>67</v>
      </c>
      <c r="D91" s="79">
        <v>1</v>
      </c>
      <c r="E91" s="80">
        <v>197.33</v>
      </c>
      <c r="F91" s="80">
        <f t="shared" si="4"/>
        <v>197.33</v>
      </c>
      <c r="G91" s="81"/>
      <c r="H91" s="82">
        <f t="shared" si="5"/>
        <v>1.6279999999999999E-2</v>
      </c>
    </row>
    <row r="92" spans="1:8" x14ac:dyDescent="0.2">
      <c r="A92" s="28" t="s">
        <v>89</v>
      </c>
      <c r="B92" s="84" t="s">
        <v>149</v>
      </c>
      <c r="C92" s="76" t="s">
        <v>67</v>
      </c>
      <c r="D92" s="79">
        <v>1</v>
      </c>
      <c r="E92" s="80">
        <v>181.43</v>
      </c>
      <c r="F92" s="80">
        <f t="shared" si="4"/>
        <v>181.43</v>
      </c>
      <c r="G92" s="81"/>
      <c r="H92" s="82">
        <f t="shared" si="5"/>
        <v>1.4970000000000001E-2</v>
      </c>
    </row>
    <row r="93" spans="1:8" s="73" customFormat="1" ht="11.1" customHeight="1" thickBot="1" x14ac:dyDescent="0.25">
      <c r="A93" s="28"/>
      <c r="B93" s="70"/>
      <c r="C93" s="71"/>
      <c r="D93" s="72"/>
      <c r="E93" s="15"/>
      <c r="F93" s="15"/>
      <c r="G93" s="27"/>
      <c r="H93" s="43"/>
    </row>
    <row r="94" spans="1:8" ht="13.5" thickBot="1" x14ac:dyDescent="0.25">
      <c r="A94" s="66"/>
      <c r="B94" s="67"/>
      <c r="C94" s="55"/>
      <c r="D94" s="56"/>
      <c r="E94" s="51" t="s">
        <v>16</v>
      </c>
      <c r="F94" s="52"/>
      <c r="G94" s="53">
        <f>SUM(F83:F93)</f>
        <v>565.29</v>
      </c>
      <c r="H94" s="54">
        <f>SUM(H83:H92)</f>
        <v>4.666E-2</v>
      </c>
    </row>
    <row r="95" spans="1:8" ht="11.1" customHeight="1" x14ac:dyDescent="0.2">
      <c r="A95" s="44"/>
      <c r="B95" s="68"/>
      <c r="C95" s="46"/>
      <c r="D95" s="46"/>
      <c r="E95" s="47"/>
      <c r="F95" s="47"/>
      <c r="G95" s="48"/>
      <c r="H95" s="49"/>
    </row>
    <row r="96" spans="1:8" x14ac:dyDescent="0.2">
      <c r="A96" s="30" t="s">
        <v>90</v>
      </c>
      <c r="B96" s="31" t="s">
        <v>106</v>
      </c>
      <c r="C96" s="25"/>
      <c r="D96" s="26"/>
      <c r="E96" s="26"/>
      <c r="F96" s="26"/>
      <c r="G96" s="27"/>
      <c r="H96" s="65"/>
    </row>
    <row r="97" spans="1:8" x14ac:dyDescent="0.2">
      <c r="A97" s="28" t="s">
        <v>92</v>
      </c>
      <c r="B97" s="75" t="s">
        <v>107</v>
      </c>
      <c r="C97" s="76" t="s">
        <v>67</v>
      </c>
      <c r="D97" s="83">
        <v>1</v>
      </c>
      <c r="E97" s="80">
        <v>335</v>
      </c>
      <c r="F97" s="80">
        <f t="shared" ref="F97:F110" si="6">D97*E97</f>
        <v>335</v>
      </c>
      <c r="G97" s="27"/>
      <c r="H97" s="82">
        <f>F97/$G$127</f>
        <v>2.7640000000000001E-2</v>
      </c>
    </row>
    <row r="98" spans="1:8" x14ac:dyDescent="0.2">
      <c r="A98" s="28" t="s">
        <v>93</v>
      </c>
      <c r="B98" s="75" t="s">
        <v>110</v>
      </c>
      <c r="C98" s="76" t="s">
        <v>67</v>
      </c>
      <c r="D98" s="79">
        <v>1</v>
      </c>
      <c r="E98" s="80">
        <v>20.88</v>
      </c>
      <c r="F98" s="80">
        <f t="shared" si="6"/>
        <v>20.88</v>
      </c>
      <c r="G98" s="27"/>
      <c r="H98" s="82">
        <f t="shared" ref="H98:H110" si="7">F98/$G$127</f>
        <v>1.72E-3</v>
      </c>
    </row>
    <row r="99" spans="1:8" x14ac:dyDescent="0.2">
      <c r="A99" s="28" t="s">
        <v>94</v>
      </c>
      <c r="B99" s="75" t="s">
        <v>150</v>
      </c>
      <c r="C99" s="76" t="s">
        <v>67</v>
      </c>
      <c r="D99" s="79">
        <v>1</v>
      </c>
      <c r="E99" s="80">
        <v>9.85</v>
      </c>
      <c r="F99" s="80">
        <f t="shared" si="6"/>
        <v>9.85</v>
      </c>
      <c r="G99" s="81"/>
      <c r="H99" s="82">
        <f t="shared" si="7"/>
        <v>8.0999999999999996E-4</v>
      </c>
    </row>
    <row r="100" spans="1:8" x14ac:dyDescent="0.2">
      <c r="A100" s="28" t="s">
        <v>95</v>
      </c>
      <c r="B100" s="75" t="s">
        <v>151</v>
      </c>
      <c r="C100" s="76" t="s">
        <v>67</v>
      </c>
      <c r="D100" s="79">
        <v>1</v>
      </c>
      <c r="E100" s="80">
        <v>9.85</v>
      </c>
      <c r="F100" s="80">
        <f t="shared" si="6"/>
        <v>9.85</v>
      </c>
      <c r="G100" s="81"/>
      <c r="H100" s="82">
        <f t="shared" si="7"/>
        <v>8.0999999999999996E-4</v>
      </c>
    </row>
    <row r="101" spans="1:8" x14ac:dyDescent="0.2">
      <c r="A101" s="28" t="s">
        <v>96</v>
      </c>
      <c r="B101" s="75" t="s">
        <v>154</v>
      </c>
      <c r="C101" s="76" t="s">
        <v>67</v>
      </c>
      <c r="D101" s="79">
        <v>1</v>
      </c>
      <c r="E101" s="80">
        <v>6.48</v>
      </c>
      <c r="F101" s="80">
        <f t="shared" si="6"/>
        <v>6.48</v>
      </c>
      <c r="G101" s="27"/>
      <c r="H101" s="82">
        <f t="shared" si="7"/>
        <v>5.2999999999999998E-4</v>
      </c>
    </row>
    <row r="102" spans="1:8" x14ac:dyDescent="0.2">
      <c r="A102" s="28" t="s">
        <v>97</v>
      </c>
      <c r="B102" s="75" t="s">
        <v>152</v>
      </c>
      <c r="C102" s="76" t="s">
        <v>67</v>
      </c>
      <c r="D102" s="79">
        <v>2</v>
      </c>
      <c r="E102" s="80">
        <v>5.6</v>
      </c>
      <c r="F102" s="80">
        <f t="shared" si="6"/>
        <v>11.2</v>
      </c>
      <c r="G102" s="27"/>
      <c r="H102" s="82">
        <f t="shared" si="7"/>
        <v>9.2000000000000003E-4</v>
      </c>
    </row>
    <row r="103" spans="1:8" ht="12.75" customHeight="1" x14ac:dyDescent="0.2">
      <c r="A103" s="28" t="s">
        <v>98</v>
      </c>
      <c r="B103" s="75" t="s">
        <v>153</v>
      </c>
      <c r="C103" s="76" t="s">
        <v>67</v>
      </c>
      <c r="D103" s="79">
        <v>4</v>
      </c>
      <c r="E103" s="80">
        <v>10.17</v>
      </c>
      <c r="F103" s="80">
        <f t="shared" si="6"/>
        <v>40.68</v>
      </c>
      <c r="G103" s="27"/>
      <c r="H103" s="82">
        <f t="shared" si="7"/>
        <v>3.3600000000000001E-3</v>
      </c>
    </row>
    <row r="104" spans="1:8" x14ac:dyDescent="0.2">
      <c r="A104" s="28" t="s">
        <v>99</v>
      </c>
      <c r="B104" s="77" t="s">
        <v>174</v>
      </c>
      <c r="C104" s="78" t="s">
        <v>67</v>
      </c>
      <c r="D104" s="79">
        <v>6</v>
      </c>
      <c r="E104" s="80">
        <v>1.4</v>
      </c>
      <c r="F104" s="80">
        <f t="shared" si="6"/>
        <v>8.4</v>
      </c>
      <c r="G104" s="27"/>
      <c r="H104" s="82">
        <f t="shared" si="7"/>
        <v>6.8999999999999997E-4</v>
      </c>
    </row>
    <row r="105" spans="1:8" x14ac:dyDescent="0.2">
      <c r="A105" s="28" t="s">
        <v>100</v>
      </c>
      <c r="B105" s="77" t="s">
        <v>172</v>
      </c>
      <c r="C105" s="78" t="s">
        <v>67</v>
      </c>
      <c r="D105" s="79">
        <v>5</v>
      </c>
      <c r="E105" s="80">
        <v>1</v>
      </c>
      <c r="F105" s="80">
        <f t="shared" si="6"/>
        <v>5</v>
      </c>
      <c r="G105" s="27"/>
      <c r="H105" s="82">
        <f t="shared" si="7"/>
        <v>4.0999999999999999E-4</v>
      </c>
    </row>
    <row r="106" spans="1:8" x14ac:dyDescent="0.2">
      <c r="A106" s="28" t="s">
        <v>101</v>
      </c>
      <c r="B106" s="77" t="s">
        <v>173</v>
      </c>
      <c r="C106" s="78" t="s">
        <v>67</v>
      </c>
      <c r="D106" s="79">
        <v>1</v>
      </c>
      <c r="E106" s="80">
        <v>1.2</v>
      </c>
      <c r="F106" s="80">
        <f t="shared" si="6"/>
        <v>1.2</v>
      </c>
      <c r="G106" s="27"/>
      <c r="H106" s="82">
        <f t="shared" si="7"/>
        <v>1E-4</v>
      </c>
    </row>
    <row r="107" spans="1:8" x14ac:dyDescent="0.2">
      <c r="A107" s="28" t="s">
        <v>102</v>
      </c>
      <c r="B107" s="75" t="s">
        <v>155</v>
      </c>
      <c r="C107" s="76" t="s">
        <v>67</v>
      </c>
      <c r="D107" s="83">
        <v>8</v>
      </c>
      <c r="E107" s="80">
        <v>2.99</v>
      </c>
      <c r="F107" s="80">
        <f t="shared" si="6"/>
        <v>23.92</v>
      </c>
      <c r="G107" s="27"/>
      <c r="H107" s="82">
        <f t="shared" si="7"/>
        <v>1.97E-3</v>
      </c>
    </row>
    <row r="108" spans="1:8" x14ac:dyDescent="0.2">
      <c r="A108" s="28" t="s">
        <v>103</v>
      </c>
      <c r="B108" s="75" t="s">
        <v>157</v>
      </c>
      <c r="C108" s="76" t="s">
        <v>27</v>
      </c>
      <c r="D108" s="83">
        <v>75.900000000000006</v>
      </c>
      <c r="E108" s="80">
        <v>1.17</v>
      </c>
      <c r="F108" s="80">
        <f t="shared" si="6"/>
        <v>88.8</v>
      </c>
      <c r="G108" s="27"/>
      <c r="H108" s="82">
        <f t="shared" si="7"/>
        <v>7.3299999999999997E-3</v>
      </c>
    </row>
    <row r="109" spans="1:8" x14ac:dyDescent="0.2">
      <c r="A109" s="28" t="s">
        <v>104</v>
      </c>
      <c r="B109" s="75" t="s">
        <v>158</v>
      </c>
      <c r="C109" s="78" t="s">
        <v>27</v>
      </c>
      <c r="D109" s="79">
        <v>19</v>
      </c>
      <c r="E109" s="80">
        <v>1.8</v>
      </c>
      <c r="F109" s="80">
        <f t="shared" si="6"/>
        <v>34.200000000000003</v>
      </c>
      <c r="G109" s="27"/>
      <c r="H109" s="82">
        <f t="shared" si="7"/>
        <v>2.82E-3</v>
      </c>
    </row>
    <row r="110" spans="1:8" x14ac:dyDescent="0.2">
      <c r="A110" s="28" t="s">
        <v>198</v>
      </c>
      <c r="B110" s="75" t="s">
        <v>156</v>
      </c>
      <c r="C110" s="78" t="s">
        <v>27</v>
      </c>
      <c r="D110" s="79">
        <v>11</v>
      </c>
      <c r="E110" s="80">
        <v>2.46</v>
      </c>
      <c r="F110" s="80">
        <f t="shared" si="6"/>
        <v>27.06</v>
      </c>
      <c r="G110" s="27"/>
      <c r="H110" s="82">
        <f t="shared" si="7"/>
        <v>2.2300000000000002E-3</v>
      </c>
    </row>
    <row r="111" spans="1:8" s="73" customFormat="1" ht="11.1" customHeight="1" thickBot="1" x14ac:dyDescent="0.25">
      <c r="A111" s="69"/>
      <c r="B111" s="70"/>
      <c r="C111" s="71"/>
      <c r="D111" s="72"/>
      <c r="E111" s="15"/>
      <c r="F111" s="15"/>
      <c r="G111" s="27"/>
      <c r="H111" s="43"/>
    </row>
    <row r="112" spans="1:8" ht="13.5" thickBot="1" x14ac:dyDescent="0.25">
      <c r="A112" s="66"/>
      <c r="B112" s="67"/>
      <c r="C112" s="55"/>
      <c r="D112" s="56"/>
      <c r="E112" s="51" t="s">
        <v>16</v>
      </c>
      <c r="F112" s="52"/>
      <c r="G112" s="53">
        <f>SUM(F96:F111)</f>
        <v>622.52</v>
      </c>
      <c r="H112" s="54">
        <f>SUM(H96:H110)</f>
        <v>5.1339999999999997E-2</v>
      </c>
    </row>
    <row r="113" spans="1:9" ht="11.1" customHeight="1" x14ac:dyDescent="0.2">
      <c r="A113" s="44"/>
      <c r="B113" s="68"/>
      <c r="C113" s="46"/>
      <c r="D113" s="46"/>
      <c r="E113" s="47"/>
      <c r="F113" s="47"/>
      <c r="G113" s="48"/>
      <c r="H113" s="49"/>
    </row>
    <row r="114" spans="1:9" x14ac:dyDescent="0.2">
      <c r="A114" s="30" t="s">
        <v>105</v>
      </c>
      <c r="B114" s="31" t="s">
        <v>112</v>
      </c>
      <c r="C114" s="25"/>
      <c r="D114" s="26"/>
      <c r="E114" s="26"/>
      <c r="F114" s="26"/>
      <c r="G114" s="27"/>
      <c r="H114" s="82"/>
    </row>
    <row r="115" spans="1:9" x14ac:dyDescent="0.2">
      <c r="A115" s="28" t="s">
        <v>108</v>
      </c>
      <c r="B115" s="75" t="s">
        <v>160</v>
      </c>
      <c r="C115" s="76" t="s">
        <v>114</v>
      </c>
      <c r="D115" s="83">
        <v>72.36</v>
      </c>
      <c r="E115" s="80">
        <v>6.74</v>
      </c>
      <c r="F115" s="80">
        <f>D115*E115</f>
        <v>487.71</v>
      </c>
      <c r="G115" s="27"/>
      <c r="H115" s="82">
        <f>F115/$G$127</f>
        <v>4.0239999999999998E-2</v>
      </c>
    </row>
    <row r="116" spans="1:9" x14ac:dyDescent="0.2">
      <c r="A116" s="66" t="s">
        <v>109</v>
      </c>
      <c r="B116" s="75" t="s">
        <v>159</v>
      </c>
      <c r="C116" s="76" t="s">
        <v>114</v>
      </c>
      <c r="D116" s="79">
        <v>15.36</v>
      </c>
      <c r="E116" s="80">
        <v>7.17</v>
      </c>
      <c r="F116" s="80">
        <f>D116*E116</f>
        <v>110.13</v>
      </c>
      <c r="G116" s="27"/>
      <c r="H116" s="82">
        <f>F116/$G$127</f>
        <v>9.0900000000000009E-3</v>
      </c>
    </row>
    <row r="117" spans="1:9" s="73" customFormat="1" ht="11.1" customHeight="1" thickBot="1" x14ac:dyDescent="0.25">
      <c r="A117" s="69"/>
      <c r="B117" s="70"/>
      <c r="C117" s="71"/>
      <c r="D117" s="72"/>
      <c r="E117" s="15"/>
      <c r="F117" s="15"/>
      <c r="G117" s="27"/>
      <c r="H117" s="43"/>
    </row>
    <row r="118" spans="1:9" ht="13.5" thickBot="1" x14ac:dyDescent="0.25">
      <c r="A118" s="66"/>
      <c r="B118" s="67"/>
      <c r="C118" s="55"/>
      <c r="D118" s="56"/>
      <c r="E118" s="51" t="s">
        <v>16</v>
      </c>
      <c r="F118" s="52"/>
      <c r="G118" s="53">
        <f>SUM(F114:F117)</f>
        <v>597.84</v>
      </c>
      <c r="H118" s="54">
        <f>SUM(H114:H116)</f>
        <v>4.9329999999999999E-2</v>
      </c>
    </row>
    <row r="119" spans="1:9" ht="11.1" customHeight="1" x14ac:dyDescent="0.2">
      <c r="A119" s="44"/>
      <c r="B119" s="68"/>
      <c r="C119" s="46"/>
      <c r="D119" s="46"/>
      <c r="E119" s="47"/>
      <c r="F119" s="47"/>
      <c r="G119" s="48"/>
      <c r="H119" s="49"/>
    </row>
    <row r="120" spans="1:9" x14ac:dyDescent="0.2">
      <c r="A120" s="30" t="s">
        <v>111</v>
      </c>
      <c r="B120" s="31" t="s">
        <v>115</v>
      </c>
      <c r="C120" s="25"/>
      <c r="D120" s="26"/>
      <c r="E120" s="26"/>
      <c r="F120" s="26"/>
      <c r="G120" s="27"/>
      <c r="H120" s="65"/>
    </row>
    <row r="121" spans="1:9" x14ac:dyDescent="0.2">
      <c r="A121" s="28" t="s">
        <v>113</v>
      </c>
      <c r="B121" s="75" t="s">
        <v>116</v>
      </c>
      <c r="C121" s="76" t="s">
        <v>114</v>
      </c>
      <c r="D121" s="83">
        <v>38.47</v>
      </c>
      <c r="E121" s="80">
        <v>2.2200000000000002</v>
      </c>
      <c r="F121" s="80">
        <f>D121*E121</f>
        <v>85.4</v>
      </c>
      <c r="G121" s="27"/>
      <c r="H121" s="82">
        <f>F121/$G$127</f>
        <v>7.0499999999999998E-3</v>
      </c>
    </row>
    <row r="122" spans="1:9" s="73" customFormat="1" ht="11.1" customHeight="1" thickBot="1" x14ac:dyDescent="0.25">
      <c r="A122" s="107"/>
      <c r="B122" s="70"/>
      <c r="C122" s="71"/>
      <c r="D122" s="72"/>
      <c r="E122" s="15"/>
      <c r="F122" s="15"/>
      <c r="G122" s="27"/>
      <c r="H122" s="43"/>
    </row>
    <row r="123" spans="1:9" ht="13.5" thickBot="1" x14ac:dyDescent="0.25">
      <c r="A123" s="87"/>
      <c r="B123" s="67"/>
      <c r="C123" s="55"/>
      <c r="D123" s="56"/>
      <c r="E123" s="51" t="s">
        <v>16</v>
      </c>
      <c r="F123" s="52"/>
      <c r="G123" s="53">
        <f>SUM(F120:F122)</f>
        <v>85.4</v>
      </c>
      <c r="H123" s="54">
        <f>SUM(H120:H121)</f>
        <v>7.0499999999999998E-3</v>
      </c>
    </row>
    <row r="124" spans="1:9" ht="11.1" customHeight="1" x14ac:dyDescent="0.2">
      <c r="A124" s="108"/>
      <c r="B124" s="68"/>
      <c r="C124" s="46"/>
      <c r="D124" s="46"/>
      <c r="E124" s="47"/>
      <c r="F124" s="88"/>
      <c r="G124" s="48"/>
      <c r="H124" s="49"/>
    </row>
    <row r="125" spans="1:9" ht="11.1" customHeight="1" x14ac:dyDescent="0.2">
      <c r="A125" s="108"/>
      <c r="B125" s="68"/>
      <c r="C125" s="46"/>
      <c r="D125" s="46"/>
      <c r="E125" s="47"/>
      <c r="F125" s="89"/>
      <c r="G125" s="48"/>
      <c r="H125" s="49"/>
    </row>
    <row r="126" spans="1:9" ht="11.1" customHeight="1" x14ac:dyDescent="0.2">
      <c r="A126" s="108"/>
      <c r="B126" s="68"/>
      <c r="C126" s="46"/>
      <c r="D126" s="46"/>
      <c r="E126" s="47"/>
      <c r="F126" s="89"/>
      <c r="G126" s="48"/>
      <c r="H126" s="49"/>
    </row>
    <row r="127" spans="1:9" x14ac:dyDescent="0.2">
      <c r="A127" s="91"/>
      <c r="B127" s="59" t="s">
        <v>17</v>
      </c>
      <c r="C127" s="60"/>
      <c r="D127" s="61"/>
      <c r="E127" s="61"/>
      <c r="F127" s="90"/>
      <c r="G127" s="61">
        <f>SUM(G12:G125)</f>
        <v>12118.79</v>
      </c>
      <c r="H127" s="62">
        <f>SUM(H12:H124)/2</f>
        <v>1</v>
      </c>
      <c r="I127" s="74"/>
    </row>
    <row r="128" spans="1:9" x14ac:dyDescent="0.2">
      <c r="A128" s="91"/>
      <c r="B128" s="92" t="s">
        <v>25</v>
      </c>
      <c r="C128" s="93"/>
      <c r="D128" s="94"/>
      <c r="E128" s="95"/>
      <c r="F128" s="96">
        <v>5.8070000000000004</v>
      </c>
      <c r="G128" s="97">
        <f>G127*(F128/100)</f>
        <v>703.74</v>
      </c>
      <c r="H128" s="98"/>
    </row>
    <row r="129" spans="1:8" x14ac:dyDescent="0.2">
      <c r="A129" s="99"/>
      <c r="B129" s="117" t="s">
        <v>18</v>
      </c>
      <c r="C129" s="118"/>
      <c r="D129" s="119"/>
      <c r="E129" s="120"/>
      <c r="F129" s="121">
        <v>30</v>
      </c>
      <c r="G129" s="122">
        <f>G127*(F129/100)</f>
        <v>3635.64</v>
      </c>
      <c r="H129" s="98"/>
    </row>
    <row r="130" spans="1:8" ht="10.5" customHeight="1" thickBot="1" x14ac:dyDescent="0.25">
      <c r="A130" s="99"/>
      <c r="B130" s="100"/>
      <c r="C130" s="101"/>
      <c r="D130" s="102"/>
      <c r="E130" s="103"/>
      <c r="F130" s="104"/>
      <c r="G130" s="105"/>
      <c r="H130" s="106"/>
    </row>
    <row r="131" spans="1:8" ht="16.5" thickBot="1" x14ac:dyDescent="0.3">
      <c r="A131" s="109"/>
      <c r="B131" s="17" t="s">
        <v>19</v>
      </c>
      <c r="C131" s="18"/>
      <c r="D131" s="19"/>
      <c r="E131" s="19"/>
      <c r="F131" s="19"/>
      <c r="G131" s="63">
        <f>SUM(G127:G129)</f>
        <v>16458.169999999998</v>
      </c>
      <c r="H131" s="64"/>
    </row>
    <row r="132" spans="1:8" ht="10.5" customHeight="1" thickBot="1" x14ac:dyDescent="0.25">
      <c r="A132" s="110"/>
      <c r="B132" s="20"/>
      <c r="C132" s="16"/>
      <c r="D132" s="16"/>
      <c r="E132" s="16"/>
      <c r="F132" s="16"/>
      <c r="G132" s="14"/>
      <c r="H132" s="33"/>
    </row>
    <row r="133" spans="1:8" x14ac:dyDescent="0.2">
      <c r="A133" s="516" t="s">
        <v>24</v>
      </c>
      <c r="B133" s="517"/>
      <c r="C133" s="517"/>
      <c r="D133" s="517"/>
      <c r="E133" s="517"/>
      <c r="F133" s="517"/>
      <c r="G133" s="517"/>
      <c r="H133" s="32"/>
    </row>
    <row r="134" spans="1:8" ht="12.75" customHeight="1" x14ac:dyDescent="0.2">
      <c r="A134" s="518" t="s">
        <v>26</v>
      </c>
      <c r="B134" s="519"/>
      <c r="C134" s="519"/>
      <c r="D134" s="519"/>
      <c r="E134" s="519"/>
      <c r="F134" s="519"/>
      <c r="G134" s="519"/>
      <c r="H134" s="33"/>
    </row>
    <row r="135" spans="1:8" x14ac:dyDescent="0.2">
      <c r="A135" s="518" t="s">
        <v>200</v>
      </c>
      <c r="B135" s="519"/>
      <c r="C135" s="519"/>
      <c r="D135" s="519"/>
      <c r="E135" s="519"/>
      <c r="F135" s="519"/>
      <c r="G135" s="519"/>
      <c r="H135" s="33"/>
    </row>
    <row r="136" spans="1:8" ht="25.5" customHeight="1" x14ac:dyDescent="0.2">
      <c r="A136" s="518" t="s">
        <v>29</v>
      </c>
      <c r="B136" s="519"/>
      <c r="C136" s="519"/>
      <c r="D136" s="519"/>
      <c r="E136" s="519"/>
      <c r="F136" s="519"/>
      <c r="G136" s="519"/>
      <c r="H136" s="33"/>
    </row>
    <row r="137" spans="1:8" ht="13.5" customHeight="1" x14ac:dyDescent="0.2">
      <c r="A137" s="518" t="s">
        <v>32</v>
      </c>
      <c r="B137" s="519"/>
      <c r="C137" s="519"/>
      <c r="D137" s="519"/>
      <c r="E137" s="519"/>
      <c r="F137" s="519"/>
      <c r="G137" s="519"/>
      <c r="H137" s="33"/>
    </row>
    <row r="138" spans="1:8" ht="13.5" thickBot="1" x14ac:dyDescent="0.25">
      <c r="A138" s="514" t="s">
        <v>86</v>
      </c>
      <c r="B138" s="515"/>
      <c r="C138" s="515"/>
      <c r="D138" s="515"/>
      <c r="E138" s="515"/>
      <c r="F138" s="515"/>
      <c r="G138" s="515"/>
      <c r="H138" s="34"/>
    </row>
    <row r="139" spans="1:8" x14ac:dyDescent="0.2">
      <c r="A139" s="21"/>
      <c r="B139" s="22"/>
      <c r="C139" s="21"/>
      <c r="D139" s="21"/>
      <c r="E139" s="21"/>
      <c r="F139" s="21"/>
      <c r="G139" s="23"/>
      <c r="H139" s="21"/>
    </row>
    <row r="140" spans="1:8" x14ac:dyDescent="0.2">
      <c r="A140" s="21"/>
      <c r="B140" s="21"/>
      <c r="C140" s="21"/>
      <c r="D140" s="21"/>
      <c r="E140" s="21"/>
      <c r="F140" s="21"/>
      <c r="G140" s="23"/>
      <c r="H140" s="21"/>
    </row>
    <row r="141" spans="1:8" x14ac:dyDescent="0.2">
      <c r="A141" s="21"/>
      <c r="B141" s="21"/>
      <c r="C141" s="21"/>
      <c r="D141" s="21"/>
      <c r="E141" s="21"/>
      <c r="F141" s="21"/>
      <c r="G141" s="21"/>
      <c r="H141" s="21"/>
    </row>
    <row r="142" spans="1:8" x14ac:dyDescent="0.2">
      <c r="A142" s="21"/>
      <c r="B142" s="21"/>
      <c r="C142" s="21"/>
      <c r="D142" s="21"/>
      <c r="E142" s="21"/>
      <c r="F142" s="21"/>
      <c r="G142" s="21"/>
      <c r="H142" s="21"/>
    </row>
    <row r="143" spans="1:8" x14ac:dyDescent="0.2">
      <c r="A143" s="21"/>
      <c r="B143" s="21"/>
      <c r="C143" s="21"/>
      <c r="D143" s="21"/>
      <c r="E143" s="21"/>
      <c r="F143" s="21"/>
      <c r="G143" s="21"/>
      <c r="H143" s="21"/>
    </row>
    <row r="144" spans="1:8" x14ac:dyDescent="0.2">
      <c r="A144" s="21"/>
      <c r="B144" s="21"/>
      <c r="C144" s="21"/>
      <c r="D144" s="21"/>
      <c r="E144" s="21"/>
      <c r="F144" s="21"/>
      <c r="G144" s="21"/>
      <c r="H144" s="21"/>
    </row>
    <row r="145" spans="1:8" x14ac:dyDescent="0.2">
      <c r="A145" s="21"/>
      <c r="B145" s="21"/>
      <c r="C145" s="21"/>
      <c r="D145" s="21"/>
      <c r="E145" s="21"/>
      <c r="F145" s="21"/>
      <c r="G145" s="21"/>
      <c r="H145" s="21"/>
    </row>
    <row r="146" spans="1:8" x14ac:dyDescent="0.2">
      <c r="A146" s="21"/>
      <c r="B146" s="21"/>
      <c r="C146" s="21"/>
      <c r="D146" s="21"/>
      <c r="E146" s="21"/>
      <c r="F146" s="21"/>
      <c r="G146" s="21"/>
      <c r="H146" s="21"/>
    </row>
    <row r="147" spans="1:8" x14ac:dyDescent="0.2">
      <c r="A147" s="21"/>
      <c r="B147" s="21"/>
      <c r="C147" s="21"/>
      <c r="D147" s="21"/>
      <c r="E147" s="21"/>
      <c r="F147" s="21"/>
      <c r="G147" s="21"/>
      <c r="H147" s="21"/>
    </row>
    <row r="148" spans="1:8" x14ac:dyDescent="0.2">
      <c r="A148" s="21"/>
      <c r="B148" s="21"/>
      <c r="C148" s="21"/>
      <c r="D148" s="21"/>
      <c r="E148" s="21"/>
      <c r="F148" s="21"/>
      <c r="G148" s="21"/>
      <c r="H148" s="21"/>
    </row>
    <row r="149" spans="1:8" x14ac:dyDescent="0.2">
      <c r="A149" s="21"/>
      <c r="B149" s="21"/>
      <c r="C149" s="21"/>
      <c r="D149" s="21"/>
      <c r="E149" s="21"/>
      <c r="F149" s="21"/>
      <c r="G149" s="21"/>
      <c r="H149" s="21"/>
    </row>
    <row r="150" spans="1:8" x14ac:dyDescent="0.2">
      <c r="A150" s="21"/>
      <c r="B150" s="21"/>
      <c r="C150" s="21"/>
      <c r="D150" s="21"/>
      <c r="E150" s="21"/>
      <c r="F150" s="21"/>
      <c r="G150" s="21"/>
      <c r="H150" s="21"/>
    </row>
    <row r="151" spans="1:8" x14ac:dyDescent="0.2">
      <c r="A151" s="21"/>
      <c r="B151" s="21"/>
      <c r="C151" s="21"/>
      <c r="D151" s="21"/>
      <c r="E151" s="21"/>
      <c r="F151" s="21"/>
      <c r="G151" s="21"/>
      <c r="H151" s="21"/>
    </row>
    <row r="152" spans="1:8" x14ac:dyDescent="0.2">
      <c r="A152" s="21"/>
      <c r="B152" s="21"/>
      <c r="C152" s="21"/>
      <c r="D152" s="21"/>
      <c r="E152" s="21"/>
      <c r="F152" s="21"/>
      <c r="G152" s="21"/>
      <c r="H152" s="21"/>
    </row>
    <row r="153" spans="1:8" x14ac:dyDescent="0.2">
      <c r="A153" s="21"/>
      <c r="B153" s="21"/>
      <c r="C153" s="21"/>
      <c r="D153" s="21"/>
      <c r="E153" s="21"/>
      <c r="F153" s="21"/>
      <c r="G153" s="21"/>
      <c r="H153" s="21"/>
    </row>
    <row r="154" spans="1:8" x14ac:dyDescent="0.2">
      <c r="A154" s="21"/>
      <c r="B154" s="21"/>
      <c r="C154" s="21"/>
      <c r="D154" s="21"/>
      <c r="E154" s="21"/>
      <c r="F154" s="21"/>
      <c r="G154" s="21"/>
      <c r="H154" s="21"/>
    </row>
    <row r="155" spans="1:8" x14ac:dyDescent="0.2">
      <c r="A155" s="21"/>
      <c r="B155" s="21"/>
      <c r="C155" s="21"/>
      <c r="D155" s="21"/>
      <c r="E155" s="21"/>
      <c r="F155" s="21"/>
      <c r="G155" s="21"/>
      <c r="H155" s="21"/>
    </row>
    <row r="156" spans="1:8" x14ac:dyDescent="0.2">
      <c r="A156" s="21"/>
      <c r="B156" s="21"/>
      <c r="C156" s="21"/>
      <c r="D156" s="21"/>
      <c r="E156" s="21"/>
      <c r="F156" s="21"/>
      <c r="G156" s="21"/>
      <c r="H156" s="21"/>
    </row>
    <row r="157" spans="1:8" x14ac:dyDescent="0.2">
      <c r="A157" s="21"/>
      <c r="B157" s="21"/>
      <c r="C157" s="21"/>
      <c r="D157" s="21"/>
      <c r="E157" s="21"/>
      <c r="F157" s="21"/>
      <c r="G157" s="21"/>
      <c r="H157" s="21"/>
    </row>
    <row r="158" spans="1:8" x14ac:dyDescent="0.2">
      <c r="A158" s="21"/>
      <c r="B158" s="21"/>
      <c r="C158" s="21"/>
      <c r="D158" s="21"/>
      <c r="E158" s="21"/>
      <c r="F158" s="21"/>
      <c r="G158" s="21"/>
      <c r="H158" s="21"/>
    </row>
    <row r="159" spans="1:8" x14ac:dyDescent="0.2">
      <c r="A159" s="21"/>
      <c r="B159" s="21"/>
      <c r="C159" s="21"/>
      <c r="D159" s="21"/>
      <c r="E159" s="21"/>
      <c r="F159" s="21"/>
      <c r="G159" s="21"/>
      <c r="H159" s="21"/>
    </row>
    <row r="160" spans="1:8" x14ac:dyDescent="0.2">
      <c r="A160" s="21"/>
      <c r="B160" s="21"/>
      <c r="C160" s="21"/>
      <c r="D160" s="21"/>
      <c r="E160" s="21"/>
      <c r="F160" s="21"/>
      <c r="G160" s="21"/>
      <c r="H160" s="21"/>
    </row>
    <row r="161" spans="1:8" x14ac:dyDescent="0.2">
      <c r="A161" s="21"/>
      <c r="B161" s="21"/>
      <c r="C161" s="21"/>
      <c r="D161" s="21"/>
      <c r="E161" s="21"/>
      <c r="F161" s="21"/>
      <c r="G161" s="21"/>
      <c r="H161" s="21"/>
    </row>
    <row r="162" spans="1:8" x14ac:dyDescent="0.2">
      <c r="A162" s="21"/>
      <c r="B162" s="21"/>
      <c r="C162" s="21"/>
      <c r="D162" s="21"/>
      <c r="E162" s="21"/>
      <c r="F162" s="21"/>
      <c r="G162" s="21"/>
      <c r="H162" s="21"/>
    </row>
    <row r="163" spans="1:8" x14ac:dyDescent="0.2">
      <c r="A163" s="21"/>
      <c r="B163" s="21"/>
      <c r="C163" s="21"/>
      <c r="D163" s="21"/>
      <c r="E163" s="21"/>
      <c r="F163" s="21"/>
      <c r="G163" s="21"/>
      <c r="H163" s="21"/>
    </row>
    <row r="164" spans="1:8" x14ac:dyDescent="0.2">
      <c r="A164" s="21"/>
      <c r="B164" s="21"/>
      <c r="C164" s="21"/>
      <c r="D164" s="21"/>
      <c r="E164" s="21"/>
      <c r="F164" s="21"/>
      <c r="G164" s="21"/>
      <c r="H164" s="21"/>
    </row>
    <row r="165" spans="1:8" x14ac:dyDescent="0.2">
      <c r="A165" s="21"/>
      <c r="B165" s="21"/>
      <c r="C165" s="21"/>
      <c r="D165" s="21"/>
      <c r="E165" s="21"/>
      <c r="F165" s="21"/>
      <c r="G165" s="21"/>
      <c r="H165" s="21"/>
    </row>
    <row r="166" spans="1:8" x14ac:dyDescent="0.2">
      <c r="A166" s="21"/>
      <c r="B166" s="21"/>
      <c r="C166" s="21"/>
      <c r="D166" s="21"/>
      <c r="E166" s="21"/>
      <c r="F166" s="21"/>
      <c r="G166" s="21"/>
      <c r="H166" s="21"/>
    </row>
    <row r="167" spans="1:8" x14ac:dyDescent="0.2">
      <c r="A167" s="21"/>
      <c r="B167" s="21"/>
      <c r="C167" s="21"/>
      <c r="D167" s="21"/>
      <c r="E167" s="21"/>
      <c r="F167" s="21"/>
      <c r="G167" s="21"/>
      <c r="H167" s="21"/>
    </row>
    <row r="168" spans="1:8" x14ac:dyDescent="0.2">
      <c r="A168" s="21"/>
      <c r="B168" s="21"/>
      <c r="C168" s="21"/>
      <c r="D168" s="21"/>
      <c r="E168" s="21"/>
      <c r="F168" s="21"/>
      <c r="G168" s="21"/>
      <c r="H168" s="21"/>
    </row>
    <row r="169" spans="1:8" x14ac:dyDescent="0.2">
      <c r="A169" s="21"/>
      <c r="B169" s="21"/>
      <c r="C169" s="21"/>
      <c r="D169" s="21"/>
      <c r="E169" s="21"/>
      <c r="F169" s="21"/>
      <c r="G169" s="21"/>
      <c r="H169" s="21"/>
    </row>
    <row r="170" spans="1:8" x14ac:dyDescent="0.2">
      <c r="A170" s="21"/>
      <c r="B170" s="21"/>
      <c r="C170" s="21"/>
      <c r="D170" s="21"/>
      <c r="E170" s="21"/>
      <c r="F170" s="21"/>
      <c r="G170" s="21"/>
      <c r="H170" s="21"/>
    </row>
    <row r="171" spans="1:8" x14ac:dyDescent="0.2">
      <c r="A171" s="21"/>
      <c r="B171" s="21"/>
      <c r="C171" s="21"/>
      <c r="D171" s="21"/>
      <c r="E171" s="21"/>
      <c r="F171" s="21"/>
      <c r="G171" s="21"/>
      <c r="H171" s="21"/>
    </row>
    <row r="172" spans="1:8" x14ac:dyDescent="0.2">
      <c r="A172" s="21"/>
      <c r="B172" s="21"/>
      <c r="C172" s="21"/>
      <c r="D172" s="21"/>
      <c r="E172" s="21"/>
      <c r="F172" s="21"/>
      <c r="G172" s="21"/>
      <c r="H172" s="21"/>
    </row>
    <row r="173" spans="1:8" x14ac:dyDescent="0.2">
      <c r="A173" s="21"/>
      <c r="B173" s="21"/>
      <c r="C173" s="21"/>
      <c r="D173" s="21"/>
      <c r="E173" s="21"/>
      <c r="F173" s="21"/>
      <c r="G173" s="21"/>
      <c r="H173" s="21"/>
    </row>
    <row r="174" spans="1:8" x14ac:dyDescent="0.2">
      <c r="A174" s="21"/>
      <c r="B174" s="21"/>
      <c r="C174" s="21"/>
      <c r="D174" s="21"/>
      <c r="E174" s="21"/>
      <c r="F174" s="21"/>
      <c r="G174" s="21"/>
      <c r="H174" s="21"/>
    </row>
    <row r="175" spans="1:8" x14ac:dyDescent="0.2">
      <c r="A175" s="21"/>
      <c r="B175" s="21"/>
      <c r="C175" s="21"/>
      <c r="D175" s="21"/>
      <c r="E175" s="21"/>
      <c r="F175" s="21"/>
      <c r="G175" s="21"/>
      <c r="H175" s="21"/>
    </row>
    <row r="176" spans="1:8" x14ac:dyDescent="0.2">
      <c r="A176" s="21"/>
      <c r="B176" s="21"/>
      <c r="C176" s="21"/>
      <c r="D176" s="21"/>
      <c r="E176" s="21"/>
      <c r="F176" s="21"/>
      <c r="G176" s="21"/>
      <c r="H176" s="21"/>
    </row>
    <row r="177" spans="1:8" x14ac:dyDescent="0.2">
      <c r="A177" s="21"/>
      <c r="B177" s="21"/>
      <c r="C177" s="21"/>
      <c r="D177" s="21"/>
      <c r="E177" s="21"/>
      <c r="F177" s="21"/>
      <c r="G177" s="21"/>
      <c r="H177" s="21"/>
    </row>
    <row r="178" spans="1:8" x14ac:dyDescent="0.2">
      <c r="A178" s="21"/>
      <c r="B178" s="21"/>
      <c r="C178" s="21"/>
      <c r="D178" s="21"/>
      <c r="E178" s="21"/>
      <c r="F178" s="21"/>
      <c r="G178" s="21"/>
      <c r="H178" s="21"/>
    </row>
    <row r="179" spans="1:8" x14ac:dyDescent="0.2">
      <c r="A179" s="21"/>
      <c r="B179" s="21"/>
      <c r="C179" s="21"/>
      <c r="D179" s="21"/>
      <c r="E179" s="21"/>
      <c r="F179" s="21"/>
      <c r="G179" s="21"/>
      <c r="H179" s="21"/>
    </row>
    <row r="180" spans="1:8" x14ac:dyDescent="0.2">
      <c r="A180" s="21"/>
      <c r="B180" s="21"/>
      <c r="C180" s="21"/>
      <c r="D180" s="21"/>
      <c r="E180" s="21"/>
      <c r="F180" s="21"/>
      <c r="G180" s="21"/>
      <c r="H180" s="21"/>
    </row>
    <row r="181" spans="1:8" x14ac:dyDescent="0.2">
      <c r="A181" s="21"/>
      <c r="B181" s="21"/>
      <c r="C181" s="21"/>
      <c r="D181" s="21"/>
      <c r="E181" s="21"/>
      <c r="F181" s="21"/>
      <c r="G181" s="21"/>
      <c r="H181" s="21"/>
    </row>
    <row r="182" spans="1:8" x14ac:dyDescent="0.2">
      <c r="A182" s="21"/>
      <c r="B182" s="21"/>
      <c r="C182" s="21"/>
      <c r="D182" s="21"/>
      <c r="E182" s="21"/>
      <c r="F182" s="21"/>
      <c r="G182" s="21"/>
      <c r="H182" s="21"/>
    </row>
    <row r="183" spans="1:8" x14ac:dyDescent="0.2">
      <c r="A183" s="21"/>
      <c r="B183" s="21"/>
      <c r="C183" s="21"/>
      <c r="D183" s="21"/>
      <c r="E183" s="21"/>
      <c r="F183" s="21"/>
      <c r="G183" s="21"/>
      <c r="H183" s="21"/>
    </row>
    <row r="184" spans="1:8" x14ac:dyDescent="0.2">
      <c r="A184" s="21"/>
      <c r="B184" s="21"/>
      <c r="C184" s="21"/>
      <c r="D184" s="21"/>
      <c r="E184" s="21"/>
      <c r="F184" s="21"/>
      <c r="G184" s="21"/>
      <c r="H184" s="21"/>
    </row>
    <row r="185" spans="1:8" x14ac:dyDescent="0.2">
      <c r="A185" s="21"/>
      <c r="B185" s="21"/>
      <c r="C185" s="21"/>
      <c r="D185" s="21"/>
      <c r="E185" s="21"/>
      <c r="F185" s="21"/>
      <c r="G185" s="21"/>
      <c r="H185" s="21"/>
    </row>
    <row r="186" spans="1:8" x14ac:dyDescent="0.2">
      <c r="A186" s="21"/>
      <c r="B186" s="21"/>
      <c r="C186" s="21"/>
      <c r="D186" s="21"/>
      <c r="E186" s="21"/>
      <c r="F186" s="21"/>
      <c r="G186" s="21"/>
      <c r="H186" s="21"/>
    </row>
    <row r="187" spans="1:8" x14ac:dyDescent="0.2">
      <c r="A187" s="21"/>
      <c r="B187" s="21"/>
      <c r="C187" s="21"/>
      <c r="D187" s="21"/>
      <c r="E187" s="21"/>
      <c r="F187" s="21"/>
      <c r="G187" s="21"/>
      <c r="H187" s="21"/>
    </row>
    <row r="188" spans="1:8" x14ac:dyDescent="0.2">
      <c r="A188" s="21"/>
      <c r="B188" s="21"/>
      <c r="C188" s="21"/>
      <c r="D188" s="21"/>
      <c r="E188" s="21"/>
      <c r="F188" s="21"/>
      <c r="G188" s="21"/>
      <c r="H188" s="21"/>
    </row>
    <row r="189" spans="1:8" x14ac:dyDescent="0.2">
      <c r="A189" s="21"/>
      <c r="B189" s="21"/>
      <c r="C189" s="21"/>
      <c r="D189" s="21"/>
      <c r="E189" s="21"/>
      <c r="F189" s="21"/>
      <c r="G189" s="21"/>
      <c r="H189" s="21"/>
    </row>
    <row r="190" spans="1:8" x14ac:dyDescent="0.2">
      <c r="A190" s="21"/>
      <c r="B190" s="21"/>
      <c r="C190" s="21"/>
      <c r="D190" s="21"/>
      <c r="E190" s="21"/>
      <c r="F190" s="21"/>
      <c r="G190" s="21"/>
      <c r="H190" s="21"/>
    </row>
    <row r="191" spans="1:8" x14ac:dyDescent="0.2">
      <c r="A191" s="21"/>
      <c r="B191" s="21"/>
      <c r="C191" s="21"/>
      <c r="D191" s="21"/>
      <c r="E191" s="21"/>
      <c r="F191" s="21"/>
      <c r="G191" s="21"/>
      <c r="H191" s="21"/>
    </row>
    <row r="192" spans="1:8" x14ac:dyDescent="0.2">
      <c r="A192" s="21"/>
      <c r="B192" s="21"/>
      <c r="C192" s="21"/>
      <c r="D192" s="21"/>
      <c r="E192" s="21"/>
      <c r="F192" s="21"/>
      <c r="G192" s="21"/>
      <c r="H192" s="21"/>
    </row>
    <row r="193" spans="1:8" x14ac:dyDescent="0.2">
      <c r="A193" s="21"/>
      <c r="B193" s="21"/>
      <c r="C193" s="21"/>
      <c r="D193" s="21"/>
      <c r="E193" s="21"/>
      <c r="F193" s="21"/>
      <c r="G193" s="21"/>
      <c r="H193" s="21"/>
    </row>
  </sheetData>
  <mergeCells count="20">
    <mergeCell ref="A1:D1"/>
    <mergeCell ref="A2:D2"/>
    <mergeCell ref="A3:D3"/>
    <mergeCell ref="E6:F6"/>
    <mergeCell ref="G5:H5"/>
    <mergeCell ref="E5:F5"/>
    <mergeCell ref="G6:H6"/>
    <mergeCell ref="A7:H7"/>
    <mergeCell ref="A138:G138"/>
    <mergeCell ref="A133:G133"/>
    <mergeCell ref="A134:G134"/>
    <mergeCell ref="A135:G135"/>
    <mergeCell ref="A136:G136"/>
    <mergeCell ref="A137:G137"/>
    <mergeCell ref="H8:H9"/>
    <mergeCell ref="A8:A9"/>
    <mergeCell ref="B8:B9"/>
    <mergeCell ref="C8:C9"/>
    <mergeCell ref="D8:D9"/>
    <mergeCell ref="G8:G9"/>
  </mergeCells>
  <phoneticPr fontId="17" type="noConversion"/>
  <printOptions horizontalCentered="1"/>
  <pageMargins left="0.78740157480314965" right="0.59055118110236227" top="0.51181102362204722" bottom="0.31496062992125984" header="0.51181102362204722" footer="0.51181102362204722"/>
  <pageSetup paperSize="9" scale="95" orientation="landscape" horizontalDpi="300" verticalDpi="300" r:id="rId1"/>
  <headerFooter alignWithMargins="0">
    <oddFooter>&amp;L&amp;8     &amp;F&amp;C&amp;8&amp;P/&amp;N</oddFooter>
  </headerFooter>
  <rowBreaks count="4" manualBreakCount="4">
    <brk id="38" max="7" man="1"/>
    <brk id="72" max="7" man="1"/>
    <brk id="107" max="7" man="1"/>
    <brk id="138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5"/>
  <sheetViews>
    <sheetView view="pageBreakPreview" zoomScaleSheetLayoutView="100" workbookViewId="0">
      <selection activeCell="B22" sqref="B22"/>
    </sheetView>
  </sheetViews>
  <sheetFormatPr defaultRowHeight="12.75" x14ac:dyDescent="0.2"/>
  <cols>
    <col min="1" max="1" width="8.5703125" customWidth="1"/>
    <col min="2" max="2" width="62.42578125" customWidth="1"/>
    <col min="3" max="3" width="17.7109375" customWidth="1"/>
    <col min="4" max="4" width="12.7109375" customWidth="1"/>
    <col min="5" max="5" width="13.140625" customWidth="1"/>
    <col min="6" max="6" width="15.5703125" customWidth="1"/>
    <col min="7" max="7" width="14.5703125" customWidth="1"/>
    <col min="8" max="8" width="17.85546875" customWidth="1"/>
    <col min="9" max="9" width="10" bestFit="1" customWidth="1"/>
    <col min="10" max="10" width="9.140625" style="128"/>
  </cols>
  <sheetData>
    <row r="1" spans="1:8" ht="23.25" thickBot="1" x14ac:dyDescent="0.35">
      <c r="A1" s="672" t="s">
        <v>310</v>
      </c>
      <c r="B1" s="673"/>
      <c r="C1" s="673"/>
      <c r="D1" s="673"/>
      <c r="E1" s="673"/>
      <c r="F1" s="673"/>
      <c r="G1" s="673"/>
      <c r="H1" s="673"/>
    </row>
    <row r="2" spans="1:8" ht="15.75" customHeight="1" thickBot="1" x14ac:dyDescent="0.25">
      <c r="A2" s="674" t="s">
        <v>311</v>
      </c>
      <c r="B2" s="675"/>
      <c r="C2" s="675"/>
      <c r="D2" s="675"/>
      <c r="E2" s="675"/>
      <c r="F2" s="675"/>
      <c r="G2" s="675"/>
      <c r="H2" s="675"/>
    </row>
    <row r="3" spans="1:8" ht="15.75" customHeight="1" thickBot="1" x14ac:dyDescent="0.25">
      <c r="A3" s="676" t="s">
        <v>393</v>
      </c>
      <c r="B3" s="677"/>
      <c r="C3" s="677"/>
      <c r="D3" s="677"/>
      <c r="E3" s="677"/>
      <c r="F3" s="677"/>
      <c r="G3" s="677"/>
      <c r="H3" s="677"/>
    </row>
    <row r="4" spans="1:8" ht="15" customHeight="1" x14ac:dyDescent="0.2">
      <c r="A4" s="678" t="s">
        <v>392</v>
      </c>
      <c r="B4" s="678"/>
      <c r="C4" s="678"/>
      <c r="D4" s="678"/>
      <c r="E4" s="678"/>
      <c r="F4" s="679" t="s">
        <v>391</v>
      </c>
      <c r="G4" s="198"/>
      <c r="H4" s="679"/>
    </row>
    <row r="5" spans="1:8" ht="15" customHeight="1" x14ac:dyDescent="0.2">
      <c r="A5" s="681" t="s">
        <v>375</v>
      </c>
      <c r="B5" s="681"/>
      <c r="C5" s="681"/>
      <c r="D5" s="681"/>
      <c r="E5" s="681"/>
      <c r="F5" s="680"/>
      <c r="G5" s="199"/>
      <c r="H5" s="680"/>
    </row>
    <row r="6" spans="1:8" ht="15.75" customHeight="1" thickBot="1" x14ac:dyDescent="0.25">
      <c r="A6" s="686" t="s">
        <v>390</v>
      </c>
      <c r="B6" s="687"/>
      <c r="C6" s="687"/>
      <c r="D6" s="687"/>
      <c r="E6" s="687"/>
      <c r="F6" s="687"/>
      <c r="G6" s="687"/>
      <c r="H6" s="687"/>
    </row>
    <row r="7" spans="1:8" ht="15" x14ac:dyDescent="0.2">
      <c r="A7" s="688" t="s">
        <v>312</v>
      </c>
      <c r="B7" s="690" t="s">
        <v>313</v>
      </c>
      <c r="C7" s="692" t="s">
        <v>314</v>
      </c>
      <c r="D7" s="693"/>
      <c r="E7" s="694" t="s">
        <v>315</v>
      </c>
      <c r="F7" s="695"/>
      <c r="G7" s="695"/>
      <c r="H7" s="695"/>
    </row>
    <row r="8" spans="1:8" ht="15.75" thickBot="1" x14ac:dyDescent="0.25">
      <c r="A8" s="689"/>
      <c r="B8" s="691"/>
      <c r="C8" s="200" t="s">
        <v>316</v>
      </c>
      <c r="D8" s="201" t="s">
        <v>317</v>
      </c>
      <c r="E8" s="202" t="s">
        <v>318</v>
      </c>
      <c r="F8" s="202" t="s">
        <v>319</v>
      </c>
      <c r="G8" s="202" t="s">
        <v>320</v>
      </c>
      <c r="H8" s="202" t="s">
        <v>321</v>
      </c>
    </row>
    <row r="9" spans="1:8" ht="15" x14ac:dyDescent="0.2">
      <c r="A9" s="203"/>
      <c r="B9" s="204"/>
      <c r="C9" s="204"/>
      <c r="D9" s="204"/>
      <c r="E9" s="205" t="e">
        <f>E10*C10</f>
        <v>#REF!</v>
      </c>
      <c r="F9" s="205"/>
      <c r="G9" s="205"/>
      <c r="H9" s="205"/>
    </row>
    <row r="10" spans="1:8" ht="15" x14ac:dyDescent="0.2">
      <c r="A10" s="206">
        <v>1</v>
      </c>
      <c r="B10" s="207" t="str">
        <f>ORÇAMENTO!D11</f>
        <v>LOCAÇÃO DE OBRAS</v>
      </c>
      <c r="C10" s="208" t="e">
        <f>'Planilha Orçamentária'!#REF!+'Planilha Orçamentária'!#REF!</f>
        <v>#REF!</v>
      </c>
      <c r="D10" s="209" t="e">
        <f>C10/C$34</f>
        <v>#REF!</v>
      </c>
      <c r="E10" s="210">
        <v>1</v>
      </c>
      <c r="F10" s="211"/>
      <c r="G10" s="211"/>
      <c r="H10" s="211"/>
    </row>
    <row r="11" spans="1:8" ht="15" x14ac:dyDescent="0.2">
      <c r="A11" s="213"/>
      <c r="B11" s="207"/>
      <c r="C11" s="208"/>
      <c r="D11" s="209"/>
      <c r="E11" s="214" t="e">
        <f>E12*C12</f>
        <v>#REF!</v>
      </c>
      <c r="F11" s="214"/>
      <c r="G11" s="214"/>
      <c r="H11" s="214"/>
    </row>
    <row r="12" spans="1:8" ht="15" x14ac:dyDescent="0.2">
      <c r="A12" s="206">
        <v>2</v>
      </c>
      <c r="B12" s="215" t="str">
        <f>ORÇAMENTO!D14</f>
        <v>INFRA-ESTRUTURA</v>
      </c>
      <c r="C12" s="216" t="e">
        <f>'Planilha Orçamentária'!#REF!+'Planilha Orçamentária'!#REF!</f>
        <v>#REF!</v>
      </c>
      <c r="D12" s="209" t="e">
        <f>C12/C$34</f>
        <v>#REF!</v>
      </c>
      <c r="E12" s="210">
        <v>1</v>
      </c>
      <c r="F12" s="211"/>
      <c r="G12" s="211"/>
      <c r="H12" s="211"/>
    </row>
    <row r="13" spans="1:8" ht="15" x14ac:dyDescent="0.2">
      <c r="A13" s="206"/>
      <c r="B13" s="207"/>
      <c r="C13" s="208"/>
      <c r="D13" s="209"/>
      <c r="E13" s="214" t="e">
        <f>E14*C14</f>
        <v>#REF!</v>
      </c>
      <c r="F13" s="214" t="e">
        <f>F14*C14</f>
        <v>#REF!</v>
      </c>
      <c r="G13" s="214"/>
      <c r="H13" s="214"/>
    </row>
    <row r="14" spans="1:8" ht="15" x14ac:dyDescent="0.2">
      <c r="A14" s="206">
        <v>3</v>
      </c>
      <c r="B14" s="207" t="str">
        <f>ORÇAMENTO!D25</f>
        <v>PAREDES E PAINÉIS</v>
      </c>
      <c r="C14" s="208" t="e">
        <f>'Planilha Orçamentária'!#REF!+'Planilha Orçamentária'!#REF!</f>
        <v>#REF!</v>
      </c>
      <c r="D14" s="209" t="e">
        <f>C14/C$34</f>
        <v>#REF!</v>
      </c>
      <c r="E14" s="217">
        <v>0.5</v>
      </c>
      <c r="F14" s="217">
        <v>0.5</v>
      </c>
      <c r="G14" s="214"/>
      <c r="H14" s="212"/>
    </row>
    <row r="15" spans="1:8" ht="15" x14ac:dyDescent="0.2">
      <c r="A15" s="206"/>
      <c r="B15" s="207"/>
      <c r="C15" s="208"/>
      <c r="D15" s="209"/>
      <c r="E15" s="218"/>
      <c r="F15" s="218">
        <f>F16*C16</f>
        <v>4597.63</v>
      </c>
      <c r="G15" s="218">
        <f>G16*C16</f>
        <v>4597.63</v>
      </c>
      <c r="H15" s="218"/>
    </row>
    <row r="16" spans="1:8" ht="15" x14ac:dyDescent="0.2">
      <c r="A16" s="206">
        <v>4</v>
      </c>
      <c r="B16" s="207" t="str">
        <f>ORÇAMENTO!D36</f>
        <v>ESQUADRIAS</v>
      </c>
      <c r="C16" s="208">
        <f>4597.63*2</f>
        <v>9195.26</v>
      </c>
      <c r="D16" s="209" t="e">
        <f>C16/C$34</f>
        <v>#REF!</v>
      </c>
      <c r="E16" s="218"/>
      <c r="F16" s="217">
        <v>0.5</v>
      </c>
      <c r="G16" s="217">
        <v>0.5</v>
      </c>
      <c r="H16" s="214"/>
    </row>
    <row r="17" spans="1:8" ht="15" x14ac:dyDescent="0.2">
      <c r="A17" s="206"/>
      <c r="B17" s="207"/>
      <c r="C17" s="208"/>
      <c r="D17" s="209"/>
      <c r="E17" s="218" t="e">
        <f>E18*C18</f>
        <v>#REF!</v>
      </c>
      <c r="F17" s="218" t="e">
        <f>F18*C18</f>
        <v>#REF!</v>
      </c>
      <c r="G17" s="218"/>
      <c r="H17" s="218"/>
    </row>
    <row r="18" spans="1:8" ht="15" x14ac:dyDescent="0.2">
      <c r="A18" s="206">
        <v>5</v>
      </c>
      <c r="B18" s="207" t="str">
        <f>ORÇAMENTO!D50</f>
        <v>COBERTURA</v>
      </c>
      <c r="C18" s="208" t="e">
        <f>'Planilha Orçamentária'!#REF!+'Planilha Orçamentária'!#REF!</f>
        <v>#REF!</v>
      </c>
      <c r="D18" s="209" t="e">
        <f>C18/C$34</f>
        <v>#REF!</v>
      </c>
      <c r="E18" s="217">
        <v>0.5</v>
      </c>
      <c r="F18" s="217">
        <v>0.5</v>
      </c>
      <c r="G18" s="214"/>
      <c r="H18" s="218"/>
    </row>
    <row r="19" spans="1:8" ht="15" x14ac:dyDescent="0.2">
      <c r="A19" s="206"/>
      <c r="B19" s="207"/>
      <c r="C19" s="208"/>
      <c r="D19" s="209"/>
      <c r="E19" s="218"/>
      <c r="F19" s="218"/>
      <c r="G19" s="218" t="e">
        <f>G20*C20</f>
        <v>#REF!</v>
      </c>
      <c r="H19" s="218" t="e">
        <f>H20*C20</f>
        <v>#REF!</v>
      </c>
    </row>
    <row r="20" spans="1:8" ht="15" x14ac:dyDescent="0.2">
      <c r="A20" s="206">
        <v>6</v>
      </c>
      <c r="B20" s="207" t="str">
        <f>ORÇAMENTO!D53</f>
        <v>PISOS</v>
      </c>
      <c r="C20" s="208" t="e">
        <f>'Planilha Orçamentária'!#REF!+'Planilha Orçamentária'!#REF!</f>
        <v>#REF!</v>
      </c>
      <c r="D20" s="209" t="e">
        <f>C20/C$34</f>
        <v>#REF!</v>
      </c>
      <c r="E20" s="212"/>
      <c r="F20" s="214"/>
      <c r="G20" s="217">
        <v>0.5</v>
      </c>
      <c r="H20" s="217">
        <v>0.5</v>
      </c>
    </row>
    <row r="21" spans="1:8" ht="15" x14ac:dyDescent="0.2">
      <c r="A21" s="206"/>
      <c r="B21" s="207"/>
      <c r="C21" s="208"/>
      <c r="D21" s="209"/>
      <c r="E21" s="218"/>
      <c r="F21" s="218"/>
      <c r="G21" s="218" t="e">
        <f>G22*C22</f>
        <v>#REF!</v>
      </c>
      <c r="H21" s="218"/>
    </row>
    <row r="22" spans="1:8" ht="15" x14ac:dyDescent="0.2">
      <c r="A22" s="206">
        <v>7</v>
      </c>
      <c r="B22" s="207" t="str">
        <f>ORÇAMENTO!D62</f>
        <v>INSTALAÇÃO HIDRO SANITÁRIO</v>
      </c>
      <c r="C22" s="208" t="e">
        <f>'Planilha Orçamentária'!#REF!+'Planilha Orçamentária'!#REF!</f>
        <v>#REF!</v>
      </c>
      <c r="D22" s="209" t="e">
        <f>C22/C$34</f>
        <v>#REF!</v>
      </c>
      <c r="E22" s="212"/>
      <c r="F22" s="212"/>
      <c r="G22" s="217">
        <v>1</v>
      </c>
      <c r="H22" s="218"/>
    </row>
    <row r="23" spans="1:8" ht="15" x14ac:dyDescent="0.2">
      <c r="A23" s="206"/>
      <c r="B23" s="207"/>
      <c r="C23" s="208"/>
      <c r="D23" s="209"/>
      <c r="E23" s="218"/>
      <c r="F23" s="218"/>
      <c r="G23" s="218"/>
      <c r="H23" s="218" t="e">
        <f>H24*C24</f>
        <v>#REF!</v>
      </c>
    </row>
    <row r="24" spans="1:8" ht="15" x14ac:dyDescent="0.2">
      <c r="A24" s="206">
        <v>8</v>
      </c>
      <c r="B24" s="207" t="str">
        <f>ORÇAMENTO!D81</f>
        <v>APARELHOS HIDRO SANITARIO</v>
      </c>
      <c r="C24" s="208" t="e">
        <f>'Planilha Orçamentária'!#REF!+'Planilha Orçamentária'!#REF!</f>
        <v>#REF!</v>
      </c>
      <c r="D24" s="209" t="e">
        <f>C24/C$34</f>
        <v>#REF!</v>
      </c>
      <c r="E24" s="212"/>
      <c r="F24" s="212"/>
      <c r="G24" s="212"/>
      <c r="H24" s="217">
        <v>1</v>
      </c>
    </row>
    <row r="25" spans="1:8" ht="15" x14ac:dyDescent="0.2">
      <c r="A25" s="206"/>
      <c r="B25" s="207"/>
      <c r="C25" s="208"/>
      <c r="D25" s="209"/>
      <c r="E25" s="218"/>
      <c r="F25" s="218"/>
      <c r="G25" s="218"/>
      <c r="H25" s="218" t="e">
        <f>H26*C26</f>
        <v>#REF!</v>
      </c>
    </row>
    <row r="26" spans="1:8" ht="15" x14ac:dyDescent="0.2">
      <c r="A26" s="206">
        <v>9</v>
      </c>
      <c r="B26" s="207" t="str">
        <f>ORÇAMENTO!D90</f>
        <v>APARELHOS ELETRICOS</v>
      </c>
      <c r="C26" s="208" t="e">
        <f>'Planilha Orçamentária'!#REF!+'Planilha Orçamentária'!#REF!</f>
        <v>#REF!</v>
      </c>
      <c r="D26" s="209" t="e">
        <f>C26/C$34</f>
        <v>#REF!</v>
      </c>
      <c r="E26" s="219"/>
      <c r="F26" s="219"/>
      <c r="G26" s="219"/>
      <c r="H26" s="217">
        <v>1</v>
      </c>
    </row>
    <row r="27" spans="1:8" ht="15" x14ac:dyDescent="0.2">
      <c r="A27" s="206"/>
      <c r="B27" s="207"/>
      <c r="C27" s="208"/>
      <c r="D27" s="209"/>
      <c r="E27" s="218"/>
      <c r="F27" s="218" t="e">
        <f>F28*C28</f>
        <v>#REF!</v>
      </c>
      <c r="G27" s="218" t="e">
        <f>G28*C28</f>
        <v>#REF!</v>
      </c>
      <c r="H27" s="218"/>
    </row>
    <row r="28" spans="1:8" ht="15" x14ac:dyDescent="0.2">
      <c r="A28" s="206">
        <v>10</v>
      </c>
      <c r="B28" s="207" t="str">
        <f>ORÇAMENTO!D98</f>
        <v>INSTALAÇÃO ELÉTRICA</v>
      </c>
      <c r="C28" s="208" t="e">
        <f>'Planilha Orçamentária'!#REF!+'Planilha Orçamentária'!#REF!</f>
        <v>#REF!</v>
      </c>
      <c r="D28" s="209" t="e">
        <f>C28/C$34</f>
        <v>#REF!</v>
      </c>
      <c r="E28" s="212"/>
      <c r="F28" s="217">
        <v>0.5</v>
      </c>
      <c r="G28" s="217">
        <v>0.5</v>
      </c>
      <c r="H28" s="212"/>
    </row>
    <row r="29" spans="1:8" ht="15" x14ac:dyDescent="0.2">
      <c r="A29" s="206"/>
      <c r="B29" s="207"/>
      <c r="C29" s="208"/>
      <c r="D29" s="209"/>
      <c r="E29" s="218"/>
      <c r="F29" s="218"/>
      <c r="G29" s="218" t="e">
        <f>G30*C30</f>
        <v>#REF!</v>
      </c>
      <c r="H29" s="218" t="e">
        <f>H30*C30</f>
        <v>#REF!</v>
      </c>
    </row>
    <row r="30" spans="1:8" ht="15" x14ac:dyDescent="0.2">
      <c r="A30" s="206">
        <v>11</v>
      </c>
      <c r="B30" s="207" t="str">
        <f>ORÇAMENTO!D107</f>
        <v xml:space="preserve">ACABAMENTO </v>
      </c>
      <c r="C30" s="208" t="e">
        <f>'Planilha Orçamentária'!#REF!+'Planilha Orçamentária'!#REF!</f>
        <v>#REF!</v>
      </c>
      <c r="D30" s="209" t="e">
        <f>C30/C$34</f>
        <v>#REF!</v>
      </c>
      <c r="E30" s="212"/>
      <c r="F30" s="212"/>
      <c r="G30" s="217">
        <v>0.2</v>
      </c>
      <c r="H30" s="217">
        <v>0.8</v>
      </c>
    </row>
    <row r="31" spans="1:8" ht="15" x14ac:dyDescent="0.2">
      <c r="A31" s="206"/>
      <c r="B31" s="207"/>
      <c r="C31" s="208"/>
      <c r="D31" s="209"/>
      <c r="E31" s="212"/>
      <c r="F31" s="218"/>
      <c r="G31" s="218"/>
      <c r="H31" s="218" t="e">
        <f>H32*C32</f>
        <v>#REF!</v>
      </c>
    </row>
    <row r="32" spans="1:8" ht="15" x14ac:dyDescent="0.2">
      <c r="A32" s="206">
        <v>12</v>
      </c>
      <c r="B32" s="207" t="str">
        <f>ORÇAMENTO!D111</f>
        <v>LIMPEZA</v>
      </c>
      <c r="C32" s="208" t="e">
        <f>'Planilha Orçamentária'!#REF!+'Planilha Orçamentária'!#REF!</f>
        <v>#REF!</v>
      </c>
      <c r="D32" s="209" t="e">
        <f>C32/C$34</f>
        <v>#REF!</v>
      </c>
      <c r="E32" s="218"/>
      <c r="F32" s="212"/>
      <c r="G32" s="212"/>
      <c r="H32" s="217">
        <v>1</v>
      </c>
    </row>
    <row r="33" spans="1:8" ht="15" x14ac:dyDescent="0.2">
      <c r="A33" s="206"/>
      <c r="B33" s="207"/>
      <c r="C33" s="208"/>
      <c r="D33" s="209"/>
      <c r="E33" s="212"/>
      <c r="F33" s="218"/>
      <c r="G33" s="218"/>
      <c r="H33" s="218"/>
    </row>
    <row r="34" spans="1:8" ht="15" x14ac:dyDescent="0.2">
      <c r="A34" s="682"/>
      <c r="B34" s="220" t="s">
        <v>322</v>
      </c>
      <c r="C34" s="221" t="e">
        <f>C10+C12+C14+C16+C18+C20+C22+C24+C26+C28+C30+C32</f>
        <v>#REF!</v>
      </c>
      <c r="D34" s="222" t="e">
        <f>ROUND(SUM(D10:D33),2)</f>
        <v>#REF!</v>
      </c>
      <c r="E34" s="223"/>
      <c r="F34" s="224"/>
      <c r="G34" s="224"/>
      <c r="H34" s="224"/>
    </row>
    <row r="35" spans="1:8" ht="15" x14ac:dyDescent="0.2">
      <c r="A35" s="683"/>
      <c r="B35" s="225"/>
      <c r="C35" s="226" t="s">
        <v>323</v>
      </c>
      <c r="D35" s="227" t="s">
        <v>316</v>
      </c>
      <c r="E35" s="228" t="e">
        <f>E17+E13+E11+E9</f>
        <v>#REF!</v>
      </c>
      <c r="F35" s="228" t="e">
        <f>F27+F17+F15+F13</f>
        <v>#REF!</v>
      </c>
      <c r="G35" s="228" t="e">
        <f>G29+G27+G21+G19+G15</f>
        <v>#REF!</v>
      </c>
      <c r="H35" s="228" t="e">
        <f>H31+H29+H25+H23+H19</f>
        <v>#REF!</v>
      </c>
    </row>
    <row r="36" spans="1:8" ht="15" x14ac:dyDescent="0.2">
      <c r="A36" s="683"/>
      <c r="B36" s="685" t="s">
        <v>324</v>
      </c>
      <c r="C36" s="685"/>
      <c r="D36" s="685"/>
      <c r="E36" s="228" t="e">
        <f>E35</f>
        <v>#REF!</v>
      </c>
      <c r="F36" s="228" t="e">
        <f>E36+F35</f>
        <v>#REF!</v>
      </c>
      <c r="G36" s="228" t="e">
        <f>G35+F36</f>
        <v>#REF!</v>
      </c>
      <c r="H36" s="228" t="e">
        <f>H35+G36</f>
        <v>#REF!</v>
      </c>
    </row>
    <row r="37" spans="1:8" ht="15" x14ac:dyDescent="0.2">
      <c r="A37" s="683"/>
      <c r="B37" s="225"/>
      <c r="C37" s="229" t="s">
        <v>325</v>
      </c>
      <c r="D37" s="230" t="s">
        <v>317</v>
      </c>
      <c r="E37" s="231" t="e">
        <f>E35/C34</f>
        <v>#REF!</v>
      </c>
      <c r="F37" s="231" t="e">
        <f>F35/C34</f>
        <v>#REF!</v>
      </c>
      <c r="G37" s="231" t="e">
        <f>G35/C34</f>
        <v>#REF!</v>
      </c>
      <c r="H37" s="231" t="e">
        <f>H35/C34</f>
        <v>#REF!</v>
      </c>
    </row>
    <row r="38" spans="1:8" ht="15.75" thickBot="1" x14ac:dyDescent="0.25">
      <c r="A38" s="684"/>
      <c r="B38" s="232"/>
      <c r="C38" s="233" t="s">
        <v>326</v>
      </c>
      <c r="D38" s="234" t="s">
        <v>317</v>
      </c>
      <c r="E38" s="235" t="e">
        <f>E37</f>
        <v>#REF!</v>
      </c>
      <c r="F38" s="235" t="e">
        <f>E38+F37</f>
        <v>#REF!</v>
      </c>
      <c r="G38" s="235" t="e">
        <f>G37+F38</f>
        <v>#REF!</v>
      </c>
      <c r="H38" s="236" t="e">
        <f>H37+G38</f>
        <v>#REF!</v>
      </c>
    </row>
    <row r="39" spans="1:8" x14ac:dyDescent="0.2">
      <c r="A39" s="21"/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1" spans="1:8" x14ac:dyDescent="0.2">
      <c r="A41" s="21"/>
      <c r="B41" s="21"/>
      <c r="C41" s="21"/>
      <c r="D41" s="21"/>
      <c r="E41" s="21"/>
      <c r="F41" s="21"/>
      <c r="G41" s="21"/>
      <c r="H41" s="21"/>
    </row>
    <row r="42" spans="1:8" x14ac:dyDescent="0.2">
      <c r="A42" s="21"/>
      <c r="B42" s="21"/>
      <c r="C42" s="21"/>
      <c r="D42" s="21"/>
      <c r="E42" s="21"/>
      <c r="F42" s="21"/>
      <c r="G42" s="21"/>
      <c r="H42" s="21"/>
    </row>
    <row r="43" spans="1:8" x14ac:dyDescent="0.2">
      <c r="A43" s="21"/>
      <c r="B43" s="21"/>
      <c r="C43" s="21"/>
      <c r="D43" s="21"/>
      <c r="E43" s="21"/>
      <c r="F43" s="21"/>
      <c r="G43" s="21"/>
      <c r="H43" s="21"/>
    </row>
    <row r="44" spans="1:8" x14ac:dyDescent="0.2">
      <c r="A44" s="21"/>
      <c r="B44" s="21"/>
      <c r="C44" s="21"/>
      <c r="D44" s="21"/>
      <c r="E44" s="21"/>
      <c r="F44" s="21"/>
      <c r="G44" s="21"/>
      <c r="H44" s="21"/>
    </row>
    <row r="45" spans="1:8" x14ac:dyDescent="0.2">
      <c r="A45" s="21"/>
      <c r="B45" s="21"/>
      <c r="C45" s="21"/>
      <c r="D45" s="21"/>
      <c r="E45" s="21"/>
      <c r="F45" s="21"/>
      <c r="G45" s="21"/>
      <c r="H45" s="21"/>
    </row>
  </sheetData>
  <mergeCells count="14">
    <mergeCell ref="A34:A38"/>
    <mergeCell ref="B36:D36"/>
    <mergeCell ref="A6:H6"/>
    <mergeCell ref="A7:A8"/>
    <mergeCell ref="B7:B8"/>
    <mergeCell ref="C7:D7"/>
    <mergeCell ref="E7:H7"/>
    <mergeCell ref="A1:H1"/>
    <mergeCell ref="A2:H2"/>
    <mergeCell ref="A3:H3"/>
    <mergeCell ref="A4:E4"/>
    <mergeCell ref="F4:F5"/>
    <mergeCell ref="H4:H5"/>
    <mergeCell ref="A5:E5"/>
  </mergeCells>
  <printOptions horizontalCentered="1" verticalCentered="1"/>
  <pageMargins left="0.78740157480314965" right="0.59055118110236227" top="0.59055118110236227" bottom="0.59055118110236227" header="0.47244094488188981" footer="0.31496062992125984"/>
  <pageSetup paperSize="9" scale="70" orientation="landscape" horizontalDpi="4294967295" verticalDpi="300" r:id="rId1"/>
  <headerFooter alignWithMargins="0">
    <oddFooter>&amp;L&amp;8   &amp;C&amp;8&amp;P/&amp;N&amp;R     &amp;F</odd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6"/>
  <sheetViews>
    <sheetView view="pageBreakPreview" topLeftCell="A16" zoomScaleSheetLayoutView="100" workbookViewId="0">
      <selection activeCell="C35" sqref="C35"/>
    </sheetView>
  </sheetViews>
  <sheetFormatPr defaultRowHeight="12.75" x14ac:dyDescent="0.2"/>
  <cols>
    <col min="1" max="1" width="8.5703125" customWidth="1"/>
    <col min="2" max="2" width="62.42578125" customWidth="1"/>
    <col min="3" max="3" width="17.7109375" customWidth="1"/>
    <col min="4" max="4" width="12.7109375" customWidth="1"/>
    <col min="5" max="5" width="13.140625" customWidth="1"/>
    <col min="6" max="7" width="14.5703125" customWidth="1"/>
    <col min="8" max="8" width="17.85546875" customWidth="1"/>
    <col min="9" max="9" width="10" bestFit="1" customWidth="1"/>
    <col min="10" max="10" width="9.140625" style="128"/>
  </cols>
  <sheetData>
    <row r="1" spans="1:8" ht="23.25" thickBot="1" x14ac:dyDescent="0.35">
      <c r="A1" s="672" t="s">
        <v>310</v>
      </c>
      <c r="B1" s="673"/>
      <c r="C1" s="673"/>
      <c r="D1" s="673"/>
      <c r="E1" s="673"/>
      <c r="F1" s="673"/>
      <c r="G1" s="673"/>
      <c r="H1" s="673"/>
    </row>
    <row r="2" spans="1:8" ht="15.75" customHeight="1" thickBot="1" x14ac:dyDescent="0.25">
      <c r="A2" s="674" t="s">
        <v>311</v>
      </c>
      <c r="B2" s="675"/>
      <c r="C2" s="675"/>
      <c r="D2" s="675"/>
      <c r="E2" s="675"/>
      <c r="F2" s="675"/>
      <c r="G2" s="675"/>
      <c r="H2" s="675"/>
    </row>
    <row r="3" spans="1:8" ht="15.75" customHeight="1" thickBot="1" x14ac:dyDescent="0.25">
      <c r="A3" s="676" t="s">
        <v>330</v>
      </c>
      <c r="B3" s="677"/>
      <c r="C3" s="677"/>
      <c r="D3" s="677"/>
      <c r="E3" s="677"/>
      <c r="F3" s="677"/>
      <c r="G3" s="677"/>
      <c r="H3" s="677"/>
    </row>
    <row r="4" spans="1:8" ht="15" customHeight="1" x14ac:dyDescent="0.2">
      <c r="A4" s="678" t="s">
        <v>328</v>
      </c>
      <c r="B4" s="678"/>
      <c r="C4" s="678"/>
      <c r="D4" s="678"/>
      <c r="E4" s="678"/>
      <c r="F4" s="679" t="s">
        <v>327</v>
      </c>
      <c r="G4" s="198"/>
      <c r="H4" s="679"/>
    </row>
    <row r="5" spans="1:8" ht="15" customHeight="1" x14ac:dyDescent="0.2">
      <c r="A5" s="681" t="s">
        <v>329</v>
      </c>
      <c r="B5" s="681"/>
      <c r="C5" s="681"/>
      <c r="D5" s="681"/>
      <c r="E5" s="681"/>
      <c r="F5" s="680"/>
      <c r="G5" s="199"/>
      <c r="H5" s="680"/>
    </row>
    <row r="6" spans="1:8" ht="15.75" customHeight="1" thickBot="1" x14ac:dyDescent="0.25">
      <c r="A6" s="686" t="s">
        <v>260</v>
      </c>
      <c r="B6" s="687"/>
      <c r="C6" s="687"/>
      <c r="D6" s="687"/>
      <c r="E6" s="687"/>
      <c r="F6" s="687"/>
      <c r="G6" s="687"/>
      <c r="H6" s="687"/>
    </row>
    <row r="7" spans="1:8" ht="15" x14ac:dyDescent="0.2">
      <c r="A7" s="688" t="s">
        <v>312</v>
      </c>
      <c r="B7" s="690" t="s">
        <v>313</v>
      </c>
      <c r="C7" s="692" t="s">
        <v>314</v>
      </c>
      <c r="D7" s="693"/>
      <c r="E7" s="694" t="s">
        <v>315</v>
      </c>
      <c r="F7" s="695"/>
      <c r="G7" s="695"/>
      <c r="H7" s="695"/>
    </row>
    <row r="8" spans="1:8" ht="15.75" thickBot="1" x14ac:dyDescent="0.25">
      <c r="A8" s="689"/>
      <c r="B8" s="691"/>
      <c r="C8" s="200" t="s">
        <v>316</v>
      </c>
      <c r="D8" s="201" t="s">
        <v>317</v>
      </c>
      <c r="E8" s="202" t="s">
        <v>318</v>
      </c>
      <c r="F8" s="202" t="s">
        <v>319</v>
      </c>
      <c r="G8" s="202" t="s">
        <v>320</v>
      </c>
      <c r="H8" s="202" t="s">
        <v>321</v>
      </c>
    </row>
    <row r="9" spans="1:8" ht="15" x14ac:dyDescent="0.2">
      <c r="A9" s="203"/>
      <c r="B9" s="204"/>
      <c r="C9" s="204"/>
      <c r="D9" s="204"/>
      <c r="E9" s="205">
        <f>E10*C10</f>
        <v>2143.92</v>
      </c>
      <c r="F9" s="205"/>
      <c r="G9" s="205"/>
      <c r="H9" s="205"/>
    </row>
    <row r="10" spans="1:8" ht="15" x14ac:dyDescent="0.2">
      <c r="A10" s="206">
        <v>1</v>
      </c>
      <c r="B10" s="207" t="str">
        <f>ORÇAMENTO!D11</f>
        <v>LOCAÇÃO DE OBRAS</v>
      </c>
      <c r="C10" s="208">
        <f>ORÇAMENTO!H11*3</f>
        <v>2143.92</v>
      </c>
      <c r="D10" s="209">
        <f>C10/C$35</f>
        <v>1.26E-2</v>
      </c>
      <c r="E10" s="210">
        <v>1</v>
      </c>
      <c r="F10" s="211"/>
      <c r="G10" s="211"/>
      <c r="H10" s="211"/>
    </row>
    <row r="11" spans="1:8" ht="15" x14ac:dyDescent="0.2">
      <c r="A11" s="213"/>
      <c r="B11" s="207"/>
      <c r="C11" s="208"/>
      <c r="D11" s="209"/>
      <c r="E11" s="214">
        <f>E12*C12</f>
        <v>47998.080000000002</v>
      </c>
      <c r="F11" s="214"/>
      <c r="G11" s="214"/>
      <c r="H11" s="214"/>
    </row>
    <row r="12" spans="1:8" ht="15" x14ac:dyDescent="0.2">
      <c r="A12" s="206">
        <v>2</v>
      </c>
      <c r="B12" s="215" t="str">
        <f>ORÇAMENTO!D14</f>
        <v>INFRA-ESTRUTURA</v>
      </c>
      <c r="C12" s="216">
        <f>ORÇAMENTO!H14*3</f>
        <v>47998.080000000002</v>
      </c>
      <c r="D12" s="209">
        <f>C12/C$35</f>
        <v>0.28179999999999999</v>
      </c>
      <c r="E12" s="210">
        <v>1</v>
      </c>
      <c r="F12" s="211"/>
      <c r="G12" s="211"/>
      <c r="H12" s="211"/>
    </row>
    <row r="13" spans="1:8" ht="15" x14ac:dyDescent="0.2">
      <c r="A13" s="206"/>
      <c r="B13" s="207"/>
      <c r="C13" s="208"/>
      <c r="D13" s="209"/>
      <c r="E13" s="214">
        <f>E14*C14</f>
        <v>19599.02</v>
      </c>
      <c r="F13" s="214">
        <f>F14*C14</f>
        <v>19599.02</v>
      </c>
      <c r="G13" s="214"/>
      <c r="H13" s="214"/>
    </row>
    <row r="14" spans="1:8" ht="15" x14ac:dyDescent="0.2">
      <c r="A14" s="206">
        <v>3</v>
      </c>
      <c r="B14" s="207" t="str">
        <f>ORÇAMENTO!D25</f>
        <v>PAREDES E PAINÉIS</v>
      </c>
      <c r="C14" s="208">
        <f>ORÇAMENTO!H25*3</f>
        <v>39198.03</v>
      </c>
      <c r="D14" s="209">
        <f>C14/C$35</f>
        <v>0.2301</v>
      </c>
      <c r="E14" s="217">
        <v>0.5</v>
      </c>
      <c r="F14" s="217">
        <v>0.5</v>
      </c>
      <c r="G14" s="214"/>
      <c r="H14" s="212"/>
    </row>
    <row r="15" spans="1:8" ht="15" x14ac:dyDescent="0.2">
      <c r="A15" s="206"/>
      <c r="B15" s="207"/>
      <c r="C15" s="208"/>
      <c r="D15" s="209"/>
      <c r="E15" s="218"/>
      <c r="F15" s="218">
        <f>F16*C16</f>
        <v>6439.01</v>
      </c>
      <c r="G15" s="218">
        <f>G16*C16</f>
        <v>6439.01</v>
      </c>
      <c r="H15" s="218"/>
    </row>
    <row r="16" spans="1:8" ht="15" x14ac:dyDescent="0.2">
      <c r="A16" s="206">
        <v>4</v>
      </c>
      <c r="B16" s="207" t="str">
        <f>ORÇAMENTO!D36</f>
        <v>ESQUADRIAS</v>
      </c>
      <c r="C16" s="208">
        <f>ORÇAMENTO!H36*3</f>
        <v>12878.01</v>
      </c>
      <c r="D16" s="209">
        <f>C16/C$35</f>
        <v>7.5600000000000001E-2</v>
      </c>
      <c r="E16" s="218"/>
      <c r="F16" s="217">
        <v>0.5</v>
      </c>
      <c r="G16" s="217">
        <v>0.5</v>
      </c>
      <c r="H16" s="214"/>
    </row>
    <row r="17" spans="1:8" ht="15" x14ac:dyDescent="0.2">
      <c r="A17" s="206"/>
      <c r="B17" s="207"/>
      <c r="C17" s="208"/>
      <c r="D17" s="209"/>
      <c r="E17" s="218">
        <f>E18*C18</f>
        <v>13786.73</v>
      </c>
      <c r="F17" s="218">
        <f>F18*C18</f>
        <v>13786.73</v>
      </c>
      <c r="G17" s="218"/>
      <c r="H17" s="218"/>
    </row>
    <row r="18" spans="1:8" ht="15" x14ac:dyDescent="0.2">
      <c r="A18" s="206">
        <v>5</v>
      </c>
      <c r="B18" s="207" t="str">
        <f>ORÇAMENTO!D50</f>
        <v>COBERTURA</v>
      </c>
      <c r="C18" s="208">
        <f>ORÇAMENTO!H50*3</f>
        <v>27573.45</v>
      </c>
      <c r="D18" s="209">
        <f>C18/C$35</f>
        <v>0.16189999999999999</v>
      </c>
      <c r="E18" s="217">
        <v>0.5</v>
      </c>
      <c r="F18" s="217">
        <v>0.5</v>
      </c>
      <c r="G18" s="214"/>
      <c r="H18" s="218"/>
    </row>
    <row r="19" spans="1:8" ht="15" x14ac:dyDescent="0.2">
      <c r="A19" s="206"/>
      <c r="B19" s="207"/>
      <c r="C19" s="208"/>
      <c r="D19" s="209"/>
      <c r="E19" s="218"/>
      <c r="F19" s="218"/>
      <c r="G19" s="218">
        <f>G20*C20</f>
        <v>3464.94</v>
      </c>
      <c r="H19" s="218">
        <f>H20*C20</f>
        <v>3464.94</v>
      </c>
    </row>
    <row r="20" spans="1:8" ht="15" x14ac:dyDescent="0.2">
      <c r="A20" s="206">
        <v>6</v>
      </c>
      <c r="B20" s="207" t="str">
        <f>ORÇAMENTO!D53</f>
        <v>PISOS</v>
      </c>
      <c r="C20" s="208">
        <f>ORÇAMENTO!H53*3</f>
        <v>6929.88</v>
      </c>
      <c r="D20" s="209">
        <f>C20/C$35</f>
        <v>4.07E-2</v>
      </c>
      <c r="E20" s="212"/>
      <c r="F20" s="214"/>
      <c r="G20" s="217">
        <v>0.5</v>
      </c>
      <c r="H20" s="217">
        <v>0.5</v>
      </c>
    </row>
    <row r="21" spans="1:8" ht="15" x14ac:dyDescent="0.2">
      <c r="A21" s="206"/>
      <c r="B21" s="207"/>
      <c r="C21" s="208"/>
      <c r="D21" s="209"/>
      <c r="E21" s="218"/>
      <c r="F21" s="218"/>
      <c r="G21" s="218">
        <f>G22*C22</f>
        <v>9106.89</v>
      </c>
      <c r="H21" s="218"/>
    </row>
    <row r="22" spans="1:8" ht="15" x14ac:dyDescent="0.2">
      <c r="A22" s="206">
        <v>7</v>
      </c>
      <c r="B22" s="207" t="str">
        <f>ORÇAMENTO!D62</f>
        <v>INSTALAÇÃO HIDRO SANITÁRIO</v>
      </c>
      <c r="C22" s="208">
        <f>ORÇAMENTO!H62*3</f>
        <v>9106.89</v>
      </c>
      <c r="D22" s="209">
        <f>C22/C$35</f>
        <v>5.3499999999999999E-2</v>
      </c>
      <c r="E22" s="212"/>
      <c r="F22" s="212"/>
      <c r="G22" s="217">
        <v>1</v>
      </c>
      <c r="H22" s="218"/>
    </row>
    <row r="23" spans="1:8" ht="15" x14ac:dyDescent="0.2">
      <c r="A23" s="206"/>
      <c r="B23" s="207"/>
      <c r="C23" s="208"/>
      <c r="D23" s="209"/>
      <c r="E23" s="218"/>
      <c r="F23" s="218"/>
      <c r="G23" s="218"/>
      <c r="H23" s="218">
        <f>H24*C24</f>
        <v>3280.47</v>
      </c>
    </row>
    <row r="24" spans="1:8" ht="15" x14ac:dyDescent="0.2">
      <c r="A24" s="206">
        <v>8</v>
      </c>
      <c r="B24" s="207" t="str">
        <f>ORÇAMENTO!D81</f>
        <v>APARELHOS HIDRO SANITARIO</v>
      </c>
      <c r="C24" s="208">
        <f>ORÇAMENTO!H81*3</f>
        <v>3280.47</v>
      </c>
      <c r="D24" s="209">
        <f>C24/C$35</f>
        <v>1.9300000000000001E-2</v>
      </c>
      <c r="E24" s="212"/>
      <c r="F24" s="212"/>
      <c r="G24" s="212"/>
      <c r="H24" s="217">
        <v>1</v>
      </c>
    </row>
    <row r="25" spans="1:8" ht="15" x14ac:dyDescent="0.2">
      <c r="A25" s="206"/>
      <c r="B25" s="207"/>
      <c r="C25" s="208"/>
      <c r="D25" s="209"/>
      <c r="E25" s="218"/>
      <c r="F25" s="218"/>
      <c r="G25" s="218"/>
      <c r="H25" s="218">
        <f>H26*C26</f>
        <v>2504.85</v>
      </c>
    </row>
    <row r="26" spans="1:8" ht="15" x14ac:dyDescent="0.2">
      <c r="A26" s="206">
        <v>9</v>
      </c>
      <c r="B26" s="207" t="str">
        <f>ORÇAMENTO!D90</f>
        <v>APARELHOS ELETRICOS</v>
      </c>
      <c r="C26" s="208">
        <f>ORÇAMENTO!H90*3</f>
        <v>2504.85</v>
      </c>
      <c r="D26" s="209">
        <f>C26/C$35</f>
        <v>1.47E-2</v>
      </c>
      <c r="E26" s="219"/>
      <c r="F26" s="219"/>
      <c r="G26" s="219"/>
      <c r="H26" s="217">
        <v>1</v>
      </c>
    </row>
    <row r="27" spans="1:8" ht="15" x14ac:dyDescent="0.2">
      <c r="A27" s="206"/>
      <c r="B27" s="207"/>
      <c r="C27" s="208"/>
      <c r="D27" s="209"/>
      <c r="E27" s="218"/>
      <c r="F27" s="218">
        <f>F28*C28</f>
        <v>5314.7</v>
      </c>
      <c r="G27" s="218">
        <f>G28*C28</f>
        <v>5314.7</v>
      </c>
      <c r="H27" s="218"/>
    </row>
    <row r="28" spans="1:8" ht="15" x14ac:dyDescent="0.2">
      <c r="A28" s="206">
        <v>10</v>
      </c>
      <c r="B28" s="207" t="str">
        <f>ORÇAMENTO!D98</f>
        <v>INSTALAÇÃO ELÉTRICA</v>
      </c>
      <c r="C28" s="208">
        <f>ORÇAMENTO!H98*3</f>
        <v>10629.39</v>
      </c>
      <c r="D28" s="209">
        <f>C28/C$35</f>
        <v>6.2399999999999997E-2</v>
      </c>
      <c r="E28" s="212"/>
      <c r="F28" s="217">
        <v>0.5</v>
      </c>
      <c r="G28" s="217">
        <v>0.5</v>
      </c>
      <c r="H28" s="212"/>
    </row>
    <row r="29" spans="1:8" ht="15" x14ac:dyDescent="0.2">
      <c r="A29" s="206"/>
      <c r="B29" s="207"/>
      <c r="C29" s="208"/>
      <c r="D29" s="209"/>
      <c r="E29" s="218"/>
      <c r="F29" s="218"/>
      <c r="G29" s="218">
        <f>G30*C30</f>
        <v>1437.71</v>
      </c>
      <c r="H29" s="218">
        <f>H30*C30</f>
        <v>5750.86</v>
      </c>
    </row>
    <row r="30" spans="1:8" ht="15" x14ac:dyDescent="0.2">
      <c r="A30" s="206">
        <v>11</v>
      </c>
      <c r="B30" s="207" t="str">
        <f>ORÇAMENTO!D107</f>
        <v xml:space="preserve">ACABAMENTO </v>
      </c>
      <c r="C30" s="208">
        <f>ORÇAMENTO!H107*3</f>
        <v>7188.57</v>
      </c>
      <c r="D30" s="209">
        <f>C30/C$35</f>
        <v>4.2200000000000001E-2</v>
      </c>
      <c r="E30" s="212"/>
      <c r="F30" s="212"/>
      <c r="G30" s="217">
        <v>0.2</v>
      </c>
      <c r="H30" s="217">
        <v>0.8</v>
      </c>
    </row>
    <row r="31" spans="1:8" ht="15" x14ac:dyDescent="0.2">
      <c r="A31" s="206"/>
      <c r="B31" s="207"/>
      <c r="C31" s="208"/>
      <c r="D31" s="209"/>
      <c r="E31" s="212"/>
      <c r="F31" s="218"/>
      <c r="G31" s="218"/>
      <c r="H31" s="218">
        <f>H32*C32</f>
        <v>904.35</v>
      </c>
    </row>
    <row r="32" spans="1:8" ht="15" x14ac:dyDescent="0.2">
      <c r="A32" s="206">
        <v>12</v>
      </c>
      <c r="B32" s="207" t="str">
        <f>ORÇAMENTO!D111</f>
        <v>LIMPEZA</v>
      </c>
      <c r="C32" s="208">
        <f>ORÇAMENTO!H111*3</f>
        <v>904.35</v>
      </c>
      <c r="D32" s="209">
        <f>C32/C$35</f>
        <v>5.3E-3</v>
      </c>
      <c r="E32" s="218"/>
      <c r="F32" s="212"/>
      <c r="G32" s="212"/>
      <c r="H32" s="217">
        <v>1</v>
      </c>
    </row>
    <row r="33" spans="1:8" ht="15" x14ac:dyDescent="0.2">
      <c r="A33" s="206"/>
      <c r="B33" s="207"/>
      <c r="C33" s="208"/>
      <c r="D33" s="209"/>
      <c r="E33" s="218"/>
      <c r="F33" s="212"/>
      <c r="G33" s="212"/>
      <c r="H33" s="218">
        <f>H34*C34</f>
        <v>0</v>
      </c>
    </row>
    <row r="34" spans="1:8" ht="15" x14ac:dyDescent="0.2">
      <c r="A34" s="206"/>
      <c r="B34" s="207"/>
      <c r="C34" s="208"/>
      <c r="D34" s="209">
        <f>C34/C$35</f>
        <v>0</v>
      </c>
      <c r="E34" s="218"/>
      <c r="F34" s="212"/>
      <c r="G34" s="212"/>
      <c r="H34" s="217">
        <v>1</v>
      </c>
    </row>
    <row r="35" spans="1:8" ht="15" x14ac:dyDescent="0.2">
      <c r="A35" s="682"/>
      <c r="B35" s="220" t="s">
        <v>322</v>
      </c>
      <c r="C35" s="221">
        <f>C34+C32+C30+C28+C26+C24+C22+C20+C18+C16+C14+C12+C10</f>
        <v>170335.89</v>
      </c>
      <c r="D35" s="222">
        <f>ROUND(SUM(D10:D34),2)</f>
        <v>1</v>
      </c>
      <c r="E35" s="223"/>
      <c r="F35" s="224"/>
      <c r="G35" s="224"/>
      <c r="H35" s="224"/>
    </row>
    <row r="36" spans="1:8" ht="15" x14ac:dyDescent="0.2">
      <c r="A36" s="683"/>
      <c r="B36" s="225"/>
      <c r="C36" s="226" t="s">
        <v>323</v>
      </c>
      <c r="D36" s="227" t="s">
        <v>316</v>
      </c>
      <c r="E36" s="228">
        <f>E17+E13+E11+E9</f>
        <v>83527.75</v>
      </c>
      <c r="F36" s="228">
        <f>F27+F17+F15+F13</f>
        <v>45139.46</v>
      </c>
      <c r="G36" s="228">
        <f>G29+G27+G21+G19+G15</f>
        <v>25763.25</v>
      </c>
      <c r="H36" s="228">
        <f>H31+H29+H25+H23+H19+H33</f>
        <v>15905.47</v>
      </c>
    </row>
    <row r="37" spans="1:8" ht="15" x14ac:dyDescent="0.2">
      <c r="A37" s="683"/>
      <c r="B37" s="685" t="s">
        <v>324</v>
      </c>
      <c r="C37" s="685"/>
      <c r="D37" s="685"/>
      <c r="E37" s="228">
        <f>E36</f>
        <v>83527.75</v>
      </c>
      <c r="F37" s="228">
        <f>E37+F36</f>
        <v>128667.21</v>
      </c>
      <c r="G37" s="228">
        <f>G36+F37</f>
        <v>154430.46</v>
      </c>
      <c r="H37" s="228">
        <f>H36+G37</f>
        <v>170335.93</v>
      </c>
    </row>
    <row r="38" spans="1:8" ht="15" x14ac:dyDescent="0.2">
      <c r="A38" s="683"/>
      <c r="B38" s="225"/>
      <c r="C38" s="229" t="s">
        <v>325</v>
      </c>
      <c r="D38" s="230" t="s">
        <v>317</v>
      </c>
      <c r="E38" s="231">
        <f>E36/C35</f>
        <v>0.4904</v>
      </c>
      <c r="F38" s="231">
        <f>F36/C35</f>
        <v>0.26500000000000001</v>
      </c>
      <c r="G38" s="231">
        <f>G36/C35</f>
        <v>0.1512</v>
      </c>
      <c r="H38" s="231">
        <f>H36/C35</f>
        <v>9.3399999999999997E-2</v>
      </c>
    </row>
    <row r="39" spans="1:8" ht="15.75" thickBot="1" x14ac:dyDescent="0.25">
      <c r="A39" s="684"/>
      <c r="B39" s="232"/>
      <c r="C39" s="233" t="s">
        <v>326</v>
      </c>
      <c r="D39" s="234" t="s">
        <v>317</v>
      </c>
      <c r="E39" s="235">
        <f>E38</f>
        <v>0.4904</v>
      </c>
      <c r="F39" s="235">
        <f>E39+F38</f>
        <v>0.75539999999999996</v>
      </c>
      <c r="G39" s="235">
        <f>G38+F39</f>
        <v>0.90659999999999996</v>
      </c>
      <c r="H39" s="236">
        <f>H38+G39</f>
        <v>1</v>
      </c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1" spans="1:8" x14ac:dyDescent="0.2">
      <c r="A41" s="21"/>
      <c r="B41" s="21"/>
      <c r="C41" s="21"/>
      <c r="D41" s="21"/>
      <c r="E41" s="21"/>
      <c r="F41" s="21"/>
      <c r="G41" s="21"/>
      <c r="H41" s="21"/>
    </row>
    <row r="42" spans="1:8" x14ac:dyDescent="0.2">
      <c r="A42" s="21"/>
      <c r="B42" s="21"/>
      <c r="C42" s="21"/>
      <c r="D42" s="21"/>
      <c r="E42" s="21"/>
      <c r="F42" s="21"/>
      <c r="G42" s="21"/>
      <c r="H42" s="21"/>
    </row>
    <row r="43" spans="1:8" x14ac:dyDescent="0.2">
      <c r="A43" s="21"/>
      <c r="B43" s="21"/>
      <c r="C43" s="21"/>
      <c r="D43" s="21"/>
      <c r="E43" s="21"/>
      <c r="F43" s="21"/>
      <c r="G43" s="21"/>
      <c r="H43" s="21"/>
    </row>
    <row r="44" spans="1:8" x14ac:dyDescent="0.2">
      <c r="A44" s="21"/>
      <c r="B44" s="21"/>
      <c r="C44" s="21"/>
      <c r="D44" s="21"/>
      <c r="E44" s="21"/>
      <c r="F44" s="21"/>
      <c r="G44" s="21"/>
      <c r="H44" s="21"/>
    </row>
    <row r="45" spans="1:8" x14ac:dyDescent="0.2">
      <c r="A45" s="21"/>
      <c r="B45" s="21"/>
      <c r="C45" s="21"/>
      <c r="D45" s="21"/>
      <c r="E45" s="21"/>
      <c r="F45" s="21"/>
      <c r="G45" s="21"/>
      <c r="H45" s="21"/>
    </row>
    <row r="46" spans="1:8" x14ac:dyDescent="0.2">
      <c r="A46" s="21"/>
      <c r="B46" s="21"/>
      <c r="C46" s="21"/>
      <c r="D46" s="21"/>
      <c r="E46" s="21"/>
      <c r="F46" s="21"/>
      <c r="G46" s="21"/>
      <c r="H46" s="21"/>
    </row>
  </sheetData>
  <mergeCells count="14">
    <mergeCell ref="A6:H6"/>
    <mergeCell ref="A1:H1"/>
    <mergeCell ref="A2:H2"/>
    <mergeCell ref="A3:H3"/>
    <mergeCell ref="A4:E4"/>
    <mergeCell ref="F4:F5"/>
    <mergeCell ref="H4:H5"/>
    <mergeCell ref="A5:E5"/>
    <mergeCell ref="A7:A8"/>
    <mergeCell ref="B7:B8"/>
    <mergeCell ref="C7:D7"/>
    <mergeCell ref="E7:H7"/>
    <mergeCell ref="A35:A39"/>
    <mergeCell ref="B37:D37"/>
  </mergeCells>
  <phoneticPr fontId="17" type="noConversion"/>
  <printOptions horizontalCentered="1" verticalCentered="1"/>
  <pageMargins left="0.78740157480314965" right="0.59055118110236227" top="0.59055118110236227" bottom="0.59055118110236227" header="0.47244094488188981" footer="0.31496062992125984"/>
  <pageSetup paperSize="9" scale="70" orientation="landscape" horizontalDpi="4294967295" verticalDpi="300" r:id="rId1"/>
  <headerFooter alignWithMargins="0">
    <oddFooter>&amp;L&amp;8   &amp;C&amp;8&amp;P/&amp;N&amp;R     &amp;F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3"/>
  <sheetViews>
    <sheetView view="pageBreakPreview" zoomScaleSheetLayoutView="100" workbookViewId="0">
      <pane xSplit="4" ySplit="9" topLeftCell="E10" activePane="bottomRight" state="frozen"/>
      <selection pane="topRight" activeCell="C1" sqref="C1"/>
      <selection pane="bottomLeft" activeCell="A10" sqref="A10"/>
      <selection pane="bottomRight" activeCell="H69" sqref="H69"/>
    </sheetView>
  </sheetViews>
  <sheetFormatPr defaultRowHeight="12.75" x14ac:dyDescent="0.2"/>
  <cols>
    <col min="1" max="1" width="8.5703125" customWidth="1"/>
    <col min="2" max="2" width="10.85546875" customWidth="1"/>
    <col min="3" max="3" width="10.28515625" customWidth="1"/>
    <col min="4" max="4" width="62.42578125" customWidth="1"/>
    <col min="5" max="5" width="8.85546875" customWidth="1"/>
    <col min="6" max="6" width="12.7109375" customWidth="1"/>
    <col min="7" max="7" width="12" customWidth="1"/>
    <col min="8" max="8" width="15.42578125" customWidth="1"/>
    <col min="9" max="9" width="17.85546875" hidden="1" customWidth="1"/>
    <col min="10" max="10" width="7" hidden="1" customWidth="1"/>
    <col min="11" max="11" width="10.85546875" hidden="1" customWidth="1"/>
    <col min="12" max="12" width="12.140625" bestFit="1" customWidth="1"/>
  </cols>
  <sheetData>
    <row r="1" spans="1:16" ht="12.75" customHeight="1" x14ac:dyDescent="0.2">
      <c r="A1" s="550" t="s">
        <v>234</v>
      </c>
      <c r="B1" s="551"/>
      <c r="C1" s="551"/>
      <c r="D1" s="551"/>
      <c r="E1" s="551"/>
      <c r="F1" s="551"/>
      <c r="G1" s="551"/>
      <c r="H1" s="552"/>
      <c r="I1" s="143"/>
    </row>
    <row r="2" spans="1:16" ht="15" customHeight="1" x14ac:dyDescent="0.2">
      <c r="A2" s="553"/>
      <c r="B2" s="554"/>
      <c r="C2" s="554"/>
      <c r="D2" s="554"/>
      <c r="E2" s="554"/>
      <c r="F2" s="554"/>
      <c r="G2" s="554"/>
      <c r="H2" s="555"/>
      <c r="I2" s="132"/>
    </row>
    <row r="3" spans="1:16" ht="15.75" customHeight="1" x14ac:dyDescent="0.2">
      <c r="A3" s="556" t="s">
        <v>235</v>
      </c>
      <c r="B3" s="557"/>
      <c r="C3" s="557"/>
      <c r="D3" s="557"/>
      <c r="E3" s="557"/>
      <c r="F3" s="557"/>
      <c r="G3" s="557"/>
      <c r="H3" s="558"/>
      <c r="L3" s="150">
        <f>(5.6*2+7*2+2*2+1.5+2.5)*0.1*0.15+2*0.1*0.15*2+1.4*0.1*0.15+2.6*0.1*0.1</f>
        <v>0.61</v>
      </c>
      <c r="M3">
        <f>(5.6+5.6+7+7+2+2+1.4+2.65)</f>
        <v>33.25</v>
      </c>
    </row>
    <row r="4" spans="1:16" ht="15.75" customHeight="1" x14ac:dyDescent="0.2">
      <c r="A4" s="559" t="s">
        <v>373</v>
      </c>
      <c r="B4" s="560"/>
      <c r="C4" s="560"/>
      <c r="D4" s="560"/>
      <c r="E4" s="560"/>
      <c r="F4" s="560"/>
      <c r="G4" s="560"/>
      <c r="H4" s="561"/>
      <c r="K4" s="123" t="s">
        <v>210</v>
      </c>
      <c r="O4" s="86">
        <f>O6-F21</f>
        <v>-0.89</v>
      </c>
    </row>
    <row r="5" spans="1:16" ht="17.25" customHeight="1" x14ac:dyDescent="0.2">
      <c r="A5" s="562" t="s">
        <v>372</v>
      </c>
      <c r="B5" s="563"/>
      <c r="C5" s="563"/>
      <c r="D5" s="563"/>
      <c r="E5" s="563"/>
      <c r="F5" s="563"/>
      <c r="G5" s="563"/>
      <c r="H5" s="564"/>
      <c r="I5" s="131"/>
      <c r="M5" s="86"/>
      <c r="O5" s="86"/>
    </row>
    <row r="6" spans="1:16" ht="17.25" customHeight="1" x14ac:dyDescent="0.2">
      <c r="A6" s="190" t="s">
        <v>236</v>
      </c>
      <c r="B6" s="185"/>
      <c r="C6" s="186"/>
      <c r="D6" s="186"/>
      <c r="E6" s="186"/>
      <c r="F6" s="186"/>
      <c r="G6" s="186"/>
      <c r="H6" s="189"/>
      <c r="I6" s="144"/>
      <c r="L6" s="150">
        <f>(5.6*2+7*2+2*2+1.5+2.5)*0.25*0.12+2*0.25*0.12*2+1.4*0.25*0.12+2.5*0.25*0.12</f>
        <v>1.23</v>
      </c>
      <c r="M6">
        <f>0.4*0.4*0.4*12+2.65*0.15*0.2*12</f>
        <v>1.722</v>
      </c>
      <c r="O6" s="86">
        <f>L6+L3+M6+N6</f>
        <v>3.56</v>
      </c>
    </row>
    <row r="7" spans="1:16" ht="17.25" customHeight="1" thickBot="1" x14ac:dyDescent="0.25">
      <c r="A7" s="191" t="s">
        <v>335</v>
      </c>
      <c r="B7" s="192"/>
      <c r="C7" s="193"/>
      <c r="D7" s="194"/>
      <c r="E7" s="194"/>
      <c r="F7" s="194"/>
      <c r="G7" s="194"/>
      <c r="H7" s="195"/>
      <c r="I7" s="144"/>
    </row>
    <row r="8" spans="1:16" x14ac:dyDescent="0.2">
      <c r="A8" s="565" t="s">
        <v>5</v>
      </c>
      <c r="B8" s="567" t="s">
        <v>237</v>
      </c>
      <c r="C8" s="567" t="s">
        <v>238</v>
      </c>
      <c r="D8" s="569" t="s">
        <v>6</v>
      </c>
      <c r="E8" s="571" t="s">
        <v>7</v>
      </c>
      <c r="F8" s="571" t="s">
        <v>8</v>
      </c>
      <c r="G8" s="136" t="s">
        <v>9</v>
      </c>
      <c r="H8" s="137" t="s">
        <v>10</v>
      </c>
      <c r="I8" s="544" t="s">
        <v>11</v>
      </c>
      <c r="K8" s="124"/>
    </row>
    <row r="9" spans="1:16" ht="13.5" thickBot="1" x14ac:dyDescent="0.25">
      <c r="A9" s="566"/>
      <c r="B9" s="568"/>
      <c r="C9" s="568"/>
      <c r="D9" s="570"/>
      <c r="E9" s="572"/>
      <c r="F9" s="572"/>
      <c r="G9" s="138" t="s">
        <v>13</v>
      </c>
      <c r="H9" s="139" t="s">
        <v>14</v>
      </c>
      <c r="I9" s="545"/>
      <c r="K9" s="124"/>
    </row>
    <row r="10" spans="1:16" x14ac:dyDescent="0.2">
      <c r="A10" s="187"/>
      <c r="B10" s="187"/>
      <c r="C10" s="187"/>
      <c r="D10" s="183"/>
      <c r="E10" s="184"/>
      <c r="F10" s="184"/>
      <c r="G10" s="188"/>
      <c r="H10" s="188"/>
      <c r="I10" s="133"/>
    </row>
    <row r="11" spans="1:16" x14ac:dyDescent="0.2">
      <c r="A11" s="166" t="s">
        <v>23</v>
      </c>
      <c r="B11" s="166"/>
      <c r="C11" s="166"/>
      <c r="D11" s="167" t="s">
        <v>36</v>
      </c>
      <c r="E11" s="177"/>
      <c r="F11" s="177"/>
      <c r="G11" s="177" t="s">
        <v>233</v>
      </c>
      <c r="H11" s="179">
        <f>SUM(H13+H12)</f>
        <v>2858.55</v>
      </c>
      <c r="I11" s="134"/>
      <c r="K11" s="123"/>
    </row>
    <row r="12" spans="1:16" x14ac:dyDescent="0.2">
      <c r="A12" s="147" t="s">
        <v>15</v>
      </c>
      <c r="B12" s="147">
        <v>10501</v>
      </c>
      <c r="C12" s="147" t="s">
        <v>239</v>
      </c>
      <c r="D12" s="148" t="s">
        <v>37</v>
      </c>
      <c r="E12" s="149" t="s">
        <v>38</v>
      </c>
      <c r="F12" s="150">
        <v>156.80000000000001</v>
      </c>
      <c r="G12" s="151">
        <f>P12</f>
        <v>9.49</v>
      </c>
      <c r="H12" s="180">
        <f>F12*G12</f>
        <v>1488.03</v>
      </c>
      <c r="I12" s="134">
        <f>H12*10</f>
        <v>14880.3</v>
      </c>
      <c r="K12" s="15">
        <v>2.85</v>
      </c>
      <c r="L12" s="196">
        <v>0.28000000000000003</v>
      </c>
      <c r="M12">
        <v>10.54</v>
      </c>
      <c r="N12">
        <f>L12*M12</f>
        <v>2.9512</v>
      </c>
      <c r="O12">
        <f>M12-N12</f>
        <v>7.5888</v>
      </c>
      <c r="P12">
        <f>O12*1.25</f>
        <v>9.4860000000000007</v>
      </c>
    </row>
    <row r="13" spans="1:16" ht="38.25" x14ac:dyDescent="0.2">
      <c r="A13" s="147" t="s">
        <v>204</v>
      </c>
      <c r="B13" s="147">
        <v>20347</v>
      </c>
      <c r="C13" s="147" t="s">
        <v>239</v>
      </c>
      <c r="D13" s="152" t="s">
        <v>211</v>
      </c>
      <c r="E13" s="153" t="s">
        <v>114</v>
      </c>
      <c r="F13" s="154">
        <v>36</v>
      </c>
      <c r="G13" s="151">
        <f>P13</f>
        <v>38.07</v>
      </c>
      <c r="H13" s="180">
        <f>F13*G13</f>
        <v>1370.52</v>
      </c>
      <c r="I13" s="134">
        <f>H13*10</f>
        <v>13705.2</v>
      </c>
      <c r="K13" s="15"/>
      <c r="L13" s="196">
        <v>0.28000000000000003</v>
      </c>
      <c r="M13">
        <v>42.3</v>
      </c>
      <c r="N13">
        <f>L13*M13</f>
        <v>11.843999999999999</v>
      </c>
      <c r="O13">
        <f>M13-N13</f>
        <v>30.456</v>
      </c>
      <c r="P13">
        <f>O13*1.25</f>
        <v>38.07</v>
      </c>
    </row>
    <row r="14" spans="1:16" x14ac:dyDescent="0.2">
      <c r="A14" s="166" t="s">
        <v>30</v>
      </c>
      <c r="B14" s="166"/>
      <c r="C14" s="166"/>
      <c r="D14" s="167" t="s">
        <v>39</v>
      </c>
      <c r="E14" s="172"/>
      <c r="F14" s="173"/>
      <c r="G14" s="173" t="s">
        <v>233</v>
      </c>
      <c r="H14" s="174">
        <f>H15+H16+H17+H18+H19+H20+H21+H22+H23+H24</f>
        <v>14126</v>
      </c>
      <c r="I14" s="134"/>
    </row>
    <row r="15" spans="1:16" s="126" customFormat="1" ht="25.5" x14ac:dyDescent="0.2">
      <c r="A15" s="147" t="s">
        <v>33</v>
      </c>
      <c r="B15" s="147">
        <v>30101</v>
      </c>
      <c r="C15" s="147" t="s">
        <v>239</v>
      </c>
      <c r="D15" s="155" t="s">
        <v>212</v>
      </c>
      <c r="E15" s="156" t="s">
        <v>41</v>
      </c>
      <c r="F15" s="150">
        <v>57.88</v>
      </c>
      <c r="G15" s="151">
        <f t="shared" ref="G15:G24" si="0">P15</f>
        <v>35.69</v>
      </c>
      <c r="H15" s="180">
        <f t="shared" ref="H15:H24" si="1">F15*G15</f>
        <v>2065.7399999999998</v>
      </c>
      <c r="I15" s="134">
        <f>H15*10</f>
        <v>20657.400000000001</v>
      </c>
      <c r="K15" s="15">
        <v>12.69</v>
      </c>
      <c r="L15" s="196">
        <v>0.28000000000000003</v>
      </c>
      <c r="M15">
        <v>39.659999999999997</v>
      </c>
      <c r="N15">
        <f t="shared" ref="N15:N24" si="2">L15*M15</f>
        <v>11.104799999999999</v>
      </c>
      <c r="O15">
        <f t="shared" ref="O15:O24" si="3">M15-N15</f>
        <v>28.555199999999999</v>
      </c>
      <c r="P15">
        <f t="shared" ref="P15:P24" si="4">O15*1.25</f>
        <v>35.694000000000003</v>
      </c>
    </row>
    <row r="16" spans="1:16" s="126" customFormat="1" x14ac:dyDescent="0.2">
      <c r="A16" s="147" t="s">
        <v>42</v>
      </c>
      <c r="B16" s="147">
        <v>30201</v>
      </c>
      <c r="C16" s="147" t="s">
        <v>239</v>
      </c>
      <c r="D16" s="155" t="s">
        <v>252</v>
      </c>
      <c r="E16" s="156" t="s">
        <v>41</v>
      </c>
      <c r="F16" s="150">
        <f>(5.6*2+7*2+2.05*2+1.5+2.5)*0.1*2*0.45</f>
        <v>3</v>
      </c>
      <c r="G16" s="151">
        <f>P16</f>
        <v>38.44</v>
      </c>
      <c r="H16" s="180">
        <f>F16*G16</f>
        <v>115.32</v>
      </c>
      <c r="I16" s="134"/>
      <c r="K16" s="15"/>
      <c r="L16" s="196">
        <v>0.28000000000000003</v>
      </c>
      <c r="M16">
        <v>42.71</v>
      </c>
      <c r="N16">
        <f>L16*M16</f>
        <v>11.9588</v>
      </c>
      <c r="O16">
        <f>M16-N16</f>
        <v>30.751200000000001</v>
      </c>
      <c r="P16">
        <f>O16*1.25</f>
        <v>38.439</v>
      </c>
    </row>
    <row r="17" spans="1:16" s="130" customFormat="1" x14ac:dyDescent="0.2">
      <c r="A17" s="147" t="s">
        <v>44</v>
      </c>
      <c r="B17" s="147">
        <v>30119</v>
      </c>
      <c r="C17" s="147" t="s">
        <v>239</v>
      </c>
      <c r="D17" s="155" t="s">
        <v>251</v>
      </c>
      <c r="E17" s="156" t="s">
        <v>38</v>
      </c>
      <c r="F17" s="150">
        <f>0.8*0.8*9+(5.4*3+7*3)*0.35+0.9*0.2+1*0.2</f>
        <v>19.16</v>
      </c>
      <c r="G17" s="151">
        <f>P17</f>
        <v>18.670000000000002</v>
      </c>
      <c r="H17" s="180">
        <f t="shared" si="1"/>
        <v>357.72</v>
      </c>
      <c r="I17" s="134">
        <f>H17*10</f>
        <v>3577.2</v>
      </c>
      <c r="K17" s="15">
        <v>4.76</v>
      </c>
      <c r="L17" s="196">
        <v>0.28000000000000003</v>
      </c>
      <c r="M17">
        <v>20.74</v>
      </c>
      <c r="N17">
        <f t="shared" si="2"/>
        <v>5.8071999999999999</v>
      </c>
      <c r="O17">
        <f t="shared" si="3"/>
        <v>14.9328</v>
      </c>
      <c r="P17">
        <f t="shared" si="4"/>
        <v>18.666</v>
      </c>
    </row>
    <row r="18" spans="1:16" s="126" customFormat="1" ht="25.5" x14ac:dyDescent="0.2">
      <c r="A18" s="147" t="s">
        <v>45</v>
      </c>
      <c r="B18" s="147">
        <v>30206</v>
      </c>
      <c r="C18" s="147" t="s">
        <v>239</v>
      </c>
      <c r="D18" s="155" t="s">
        <v>213</v>
      </c>
      <c r="E18" s="156" t="s">
        <v>41</v>
      </c>
      <c r="F18" s="150">
        <f>F48*0.4</f>
        <v>14.3</v>
      </c>
      <c r="G18" s="151">
        <f>P18</f>
        <v>88.97</v>
      </c>
      <c r="H18" s="180">
        <f t="shared" si="1"/>
        <v>1272.27</v>
      </c>
      <c r="I18" s="134">
        <f>H18*10</f>
        <v>12722.7</v>
      </c>
      <c r="K18" s="15">
        <v>29.05</v>
      </c>
      <c r="L18" s="196">
        <v>0.28000000000000003</v>
      </c>
      <c r="M18">
        <v>98.86</v>
      </c>
      <c r="N18">
        <f t="shared" si="2"/>
        <v>27.680800000000001</v>
      </c>
      <c r="O18">
        <f t="shared" si="3"/>
        <v>71.179199999999994</v>
      </c>
      <c r="P18">
        <f t="shared" si="4"/>
        <v>88.974000000000004</v>
      </c>
    </row>
    <row r="19" spans="1:16" s="130" customFormat="1" ht="38.25" x14ac:dyDescent="0.2">
      <c r="A19" s="147" t="s">
        <v>47</v>
      </c>
      <c r="B19" s="147">
        <v>50501</v>
      </c>
      <c r="C19" s="147" t="s">
        <v>239</v>
      </c>
      <c r="D19" s="155" t="s">
        <v>215</v>
      </c>
      <c r="E19" s="156" t="s">
        <v>38</v>
      </c>
      <c r="F19" s="150">
        <f>(5.4*3+7*3)*0.2+0.9*0.8+1*0.8</f>
        <v>8.9600000000000009</v>
      </c>
      <c r="G19" s="151">
        <f t="shared" si="0"/>
        <v>76.73</v>
      </c>
      <c r="H19" s="180">
        <f t="shared" si="1"/>
        <v>687.5</v>
      </c>
      <c r="I19" s="134">
        <f>H19*10</f>
        <v>6875</v>
      </c>
      <c r="K19" s="80">
        <v>18.829999999999998</v>
      </c>
      <c r="L19" s="196">
        <v>0.28000000000000003</v>
      </c>
      <c r="M19">
        <v>85.25</v>
      </c>
      <c r="N19">
        <f t="shared" si="2"/>
        <v>23.87</v>
      </c>
      <c r="O19">
        <f t="shared" si="3"/>
        <v>61.38</v>
      </c>
      <c r="P19">
        <f t="shared" si="4"/>
        <v>76.724999999999994</v>
      </c>
    </row>
    <row r="20" spans="1:16" s="129" customFormat="1" ht="25.5" x14ac:dyDescent="0.2">
      <c r="A20" s="147" t="s">
        <v>49</v>
      </c>
      <c r="B20" s="147">
        <v>40231</v>
      </c>
      <c r="C20" s="147" t="s">
        <v>239</v>
      </c>
      <c r="D20" s="155" t="s">
        <v>338</v>
      </c>
      <c r="E20" s="156" t="s">
        <v>41</v>
      </c>
      <c r="F20" s="150">
        <f>0.6*0.6*0.05*9+(5.4*3+7*3)*0.05*0.15</f>
        <v>0.44</v>
      </c>
      <c r="G20" s="151">
        <f t="shared" si="0"/>
        <v>404.12</v>
      </c>
      <c r="H20" s="180">
        <f t="shared" si="1"/>
        <v>177.81</v>
      </c>
      <c r="I20" s="134">
        <f>H20*10</f>
        <v>1778.1</v>
      </c>
      <c r="K20" s="15">
        <v>177.98</v>
      </c>
      <c r="L20" s="196">
        <v>0.28000000000000003</v>
      </c>
      <c r="M20">
        <v>449.02</v>
      </c>
      <c r="N20">
        <f t="shared" si="2"/>
        <v>125.7256</v>
      </c>
      <c r="O20">
        <f t="shared" si="3"/>
        <v>323.2944</v>
      </c>
      <c r="P20">
        <f t="shared" si="4"/>
        <v>404.11799999999999</v>
      </c>
    </row>
    <row r="21" spans="1:16" s="126" customFormat="1" ht="25.5" x14ac:dyDescent="0.2">
      <c r="A21" s="147" t="s">
        <v>227</v>
      </c>
      <c r="B21" s="147">
        <v>40235</v>
      </c>
      <c r="C21" s="147" t="s">
        <v>239</v>
      </c>
      <c r="D21" s="155" t="s">
        <v>334</v>
      </c>
      <c r="E21" s="156" t="s">
        <v>41</v>
      </c>
      <c r="F21" s="150">
        <f>0.6*0.6*0.4*9+(5.4*3+7*3)*0.15*0.3+1.45*0.1*0.3*9+2.6*0.1*0.3*9+(5.4*3+7*3)*0.1*0.1+1*0.1*0.1+0.9*0.1*0.1</f>
        <v>4.45</v>
      </c>
      <c r="G21" s="151">
        <f t="shared" si="0"/>
        <v>440.6</v>
      </c>
      <c r="H21" s="180">
        <f t="shared" si="1"/>
        <v>1960.67</v>
      </c>
      <c r="I21" s="134">
        <f>H21*10</f>
        <v>19606.7</v>
      </c>
      <c r="K21" s="80">
        <v>188.68</v>
      </c>
      <c r="L21" s="196">
        <v>0.28000000000000003</v>
      </c>
      <c r="M21">
        <v>489.56</v>
      </c>
      <c r="N21">
        <f t="shared" si="2"/>
        <v>137.07679999999999</v>
      </c>
      <c r="O21">
        <f t="shared" si="3"/>
        <v>352.48320000000001</v>
      </c>
      <c r="P21">
        <f t="shared" si="4"/>
        <v>440.60399999999998</v>
      </c>
    </row>
    <row r="22" spans="1:16" s="126" customFormat="1" ht="38.25" x14ac:dyDescent="0.2">
      <c r="A22" s="147" t="s">
        <v>253</v>
      </c>
      <c r="B22" s="147">
        <v>40250</v>
      </c>
      <c r="C22" s="147" t="s">
        <v>239</v>
      </c>
      <c r="D22" s="155" t="s">
        <v>331</v>
      </c>
      <c r="E22" s="156" t="s">
        <v>114</v>
      </c>
      <c r="F22" s="150">
        <f>0.6*0.4*4*9+1.45*0.1*2*9+0.3*1.45*2*9+2.6*0.1*2*9+0.3*2.6*2*9+(5.4*3+7*3)*0.3*2+(5.4*3+7*3)*0.1*2+0.9*0.1*2+1*0.1*2</f>
        <v>67.94</v>
      </c>
      <c r="G22" s="151">
        <f>P22</f>
        <v>78.260000000000005</v>
      </c>
      <c r="H22" s="180">
        <f>F22*G22</f>
        <v>5316.98</v>
      </c>
      <c r="I22" s="134"/>
      <c r="K22" s="80"/>
      <c r="L22" s="196">
        <v>0.28000000000000003</v>
      </c>
      <c r="M22">
        <v>86.95</v>
      </c>
      <c r="N22">
        <f>L22*M22</f>
        <v>24.346</v>
      </c>
      <c r="O22">
        <f>M22-N22</f>
        <v>62.603999999999999</v>
      </c>
      <c r="P22">
        <f>O22*1.25</f>
        <v>78.254999999999995</v>
      </c>
    </row>
    <row r="23" spans="1:16" s="126" customFormat="1" ht="25.5" x14ac:dyDescent="0.2">
      <c r="A23" s="147" t="s">
        <v>254</v>
      </c>
      <c r="B23" s="147">
        <v>40333</v>
      </c>
      <c r="C23" s="147" t="s">
        <v>239</v>
      </c>
      <c r="D23" s="155" t="s">
        <v>255</v>
      </c>
      <c r="E23" s="156" t="s">
        <v>205</v>
      </c>
      <c r="F23" s="150">
        <f>18*0.64*0.148*9+(55*2+26*2+69*2+20*2+13+69)*0.148*0.64+26*0.148*0.64*9</f>
        <v>77.48</v>
      </c>
      <c r="G23" s="151">
        <f>P23</f>
        <v>6.16</v>
      </c>
      <c r="H23" s="180">
        <f>F23*G23</f>
        <v>477.28</v>
      </c>
      <c r="I23" s="134"/>
      <c r="K23" s="80"/>
      <c r="L23" s="196">
        <v>0.28000000000000003</v>
      </c>
      <c r="M23">
        <v>6.84</v>
      </c>
      <c r="N23">
        <f>L23*M23</f>
        <v>1.9152</v>
      </c>
      <c r="O23">
        <f>M23-N23</f>
        <v>4.9248000000000003</v>
      </c>
      <c r="P23">
        <f>O23*1.25</f>
        <v>6.1559999999999997</v>
      </c>
    </row>
    <row r="24" spans="1:16" s="126" customFormat="1" ht="25.5" x14ac:dyDescent="0.2">
      <c r="A24" s="147" t="s">
        <v>332</v>
      </c>
      <c r="B24" s="147">
        <v>40243</v>
      </c>
      <c r="C24" s="147" t="s">
        <v>239</v>
      </c>
      <c r="D24" s="155" t="s">
        <v>209</v>
      </c>
      <c r="E24" s="156" t="s">
        <v>205</v>
      </c>
      <c r="F24" s="150">
        <f>1.22*6*0.393*2*9+4*2.25*0.395*9+(6.22*4*0.393)*2+3.29*4*0.393+(7.62*4*0.393)*2+(7.62*4*0.393)*2+2*0.393*6.94+2.72*4*0.393*2+2.04*0.393*2+2.02*4*0.393+2*1.34*0.393+4*2.6*0.393*12+0.393*2*33.25</f>
        <v>251.44</v>
      </c>
      <c r="G24" s="151">
        <f t="shared" si="0"/>
        <v>6.74</v>
      </c>
      <c r="H24" s="180">
        <f t="shared" si="1"/>
        <v>1694.71</v>
      </c>
      <c r="I24" s="134">
        <f>H24*10</f>
        <v>16947.099999999999</v>
      </c>
      <c r="J24" s="140"/>
      <c r="K24" s="80">
        <v>2.86</v>
      </c>
      <c r="L24" s="196">
        <v>0.28000000000000003</v>
      </c>
      <c r="M24">
        <v>7.49</v>
      </c>
      <c r="N24">
        <f t="shared" si="2"/>
        <v>2.0972</v>
      </c>
      <c r="O24">
        <f t="shared" si="3"/>
        <v>5.3928000000000003</v>
      </c>
      <c r="P24">
        <f t="shared" si="4"/>
        <v>6.7409999999999997</v>
      </c>
    </row>
    <row r="25" spans="1:16" s="126" customFormat="1" x14ac:dyDescent="0.2">
      <c r="A25" s="166" t="s">
        <v>51</v>
      </c>
      <c r="B25" s="166"/>
      <c r="C25" s="166"/>
      <c r="D25" s="167" t="s">
        <v>52</v>
      </c>
      <c r="E25" s="172"/>
      <c r="F25" s="173"/>
      <c r="G25" s="173" t="s">
        <v>233</v>
      </c>
      <c r="H25" s="181">
        <f>H26+H27+H28+H29+H30</f>
        <v>11253.24</v>
      </c>
      <c r="I25" s="134"/>
      <c r="K25" s="80"/>
    </row>
    <row r="26" spans="1:16" s="126" customFormat="1" ht="51" x14ac:dyDescent="0.2">
      <c r="A26" s="147" t="s">
        <v>53</v>
      </c>
      <c r="B26" s="147">
        <v>50606</v>
      </c>
      <c r="C26" s="147" t="s">
        <v>239</v>
      </c>
      <c r="D26" s="155" t="s">
        <v>240</v>
      </c>
      <c r="E26" s="156" t="s">
        <v>38</v>
      </c>
      <c r="F26" s="150">
        <f>((5.4*3+7*3+1)*2.6-(1.2*1*4+0.8*4))*1.1</f>
        <v>100.45</v>
      </c>
      <c r="G26" s="151">
        <f>P26</f>
        <v>40</v>
      </c>
      <c r="H26" s="180">
        <f>F26*G26</f>
        <v>4018</v>
      </c>
      <c r="I26" s="134">
        <f>H26*10</f>
        <v>40180</v>
      </c>
      <c r="K26" s="80">
        <v>15.03</v>
      </c>
      <c r="L26" s="196">
        <v>0.28000000000000003</v>
      </c>
      <c r="M26">
        <v>44.44</v>
      </c>
      <c r="N26">
        <f>L26*M26</f>
        <v>12.443199999999999</v>
      </c>
      <c r="O26">
        <f>M26-N26</f>
        <v>31.9968</v>
      </c>
      <c r="P26">
        <f>O26*1.25</f>
        <v>39.996000000000002</v>
      </c>
    </row>
    <row r="27" spans="1:16" s="126" customFormat="1" ht="25.5" x14ac:dyDescent="0.2">
      <c r="A27" s="147" t="s">
        <v>54</v>
      </c>
      <c r="B27" s="147">
        <v>40333</v>
      </c>
      <c r="C27" s="147" t="s">
        <v>239</v>
      </c>
      <c r="D27" s="155" t="s">
        <v>256</v>
      </c>
      <c r="E27" s="156" t="s">
        <v>41</v>
      </c>
      <c r="F27" s="150">
        <f>1.4*4+1*4</f>
        <v>9.6</v>
      </c>
      <c r="G27" s="151">
        <f>P27</f>
        <v>6.16</v>
      </c>
      <c r="H27" s="180">
        <f>F27*G27</f>
        <v>59.14</v>
      </c>
      <c r="I27" s="134">
        <f>H27*10</f>
        <v>591.4</v>
      </c>
      <c r="K27" s="80">
        <v>188.68</v>
      </c>
      <c r="L27" s="196">
        <v>0.28000000000000003</v>
      </c>
      <c r="M27">
        <v>6.84</v>
      </c>
      <c r="N27">
        <f>L27*M27</f>
        <v>1.9152</v>
      </c>
      <c r="O27">
        <f>M27-N27</f>
        <v>4.9248000000000003</v>
      </c>
      <c r="P27">
        <f>O27*1.25</f>
        <v>6.1559999999999997</v>
      </c>
    </row>
    <row r="28" spans="1:16" s="126" customFormat="1" ht="25.5" x14ac:dyDescent="0.2">
      <c r="A28" s="147" t="s">
        <v>56</v>
      </c>
      <c r="B28" s="147">
        <v>120101</v>
      </c>
      <c r="C28" s="147" t="s">
        <v>239</v>
      </c>
      <c r="D28" s="155" t="s">
        <v>345</v>
      </c>
      <c r="E28" s="156" t="s">
        <v>114</v>
      </c>
      <c r="F28" s="150">
        <f>F29+F30</f>
        <v>209.52</v>
      </c>
      <c r="G28" s="151">
        <f>P28</f>
        <v>4.57</v>
      </c>
      <c r="H28" s="180">
        <f>F28*G28</f>
        <v>957.51</v>
      </c>
      <c r="I28" s="134"/>
      <c r="K28" s="80"/>
      <c r="L28" s="196">
        <v>0.28000000000000003</v>
      </c>
      <c r="M28">
        <v>5.08</v>
      </c>
      <c r="N28">
        <f>L28*M28</f>
        <v>1.4224000000000001</v>
      </c>
      <c r="O28">
        <f>M28-N28</f>
        <v>3.6576</v>
      </c>
      <c r="P28">
        <f>O28*1.25</f>
        <v>4.5720000000000001</v>
      </c>
    </row>
    <row r="29" spans="1:16" s="126" customFormat="1" ht="50.25" customHeight="1" x14ac:dyDescent="0.2">
      <c r="A29" s="147" t="s">
        <v>201</v>
      </c>
      <c r="B29" s="147">
        <v>87775</v>
      </c>
      <c r="C29" s="147" t="s">
        <v>244</v>
      </c>
      <c r="D29" s="155" t="s">
        <v>343</v>
      </c>
      <c r="E29" s="156" t="s">
        <v>114</v>
      </c>
      <c r="F29" s="150">
        <f>(3.08*7*2+5.6*3.08*2+(2.95*0.89/2)*2+(2.65*0.89/2)*2-(1.2*1*4+0.8*2.1))*1.05</f>
        <v>79.930000000000007</v>
      </c>
      <c r="G29" s="151">
        <f>30.9*1.25</f>
        <v>38.630000000000003</v>
      </c>
      <c r="H29" s="180">
        <f>F29*G29</f>
        <v>3087.7</v>
      </c>
      <c r="I29" s="134"/>
      <c r="K29" s="80"/>
      <c r="L29" s="196"/>
      <c r="M29"/>
      <c r="N29"/>
      <c r="O29"/>
      <c r="P29"/>
    </row>
    <row r="30" spans="1:16" s="126" customFormat="1" ht="56.25" customHeight="1" x14ac:dyDescent="0.2">
      <c r="A30" s="147" t="s">
        <v>202</v>
      </c>
      <c r="B30" s="147">
        <v>87533</v>
      </c>
      <c r="C30" s="147" t="s">
        <v>244</v>
      </c>
      <c r="D30" s="155" t="s">
        <v>341</v>
      </c>
      <c r="E30" s="156" t="s">
        <v>38</v>
      </c>
      <c r="F30" s="150">
        <f>((2.6*4+3.3*2+3.4*4+2.8+2+1+0.8+4.4+2.8+3.3+2.3+0.9+1)*2.6-(0.8*2.1*4+1.2*1*4))*1.05</f>
        <v>129.59</v>
      </c>
      <c r="G30" s="151">
        <f>19.33*1.25</f>
        <v>24.16</v>
      </c>
      <c r="H30" s="180">
        <f>F30*G30</f>
        <v>3130.89</v>
      </c>
      <c r="I30" s="134">
        <f>H30*10</f>
        <v>31308.9</v>
      </c>
      <c r="K30" s="80">
        <v>10.19</v>
      </c>
      <c r="L30" s="196">
        <v>0.28000000000000003</v>
      </c>
      <c r="M30">
        <v>16.12</v>
      </c>
      <c r="N30">
        <f>L30*M30</f>
        <v>4.5136000000000003</v>
      </c>
      <c r="O30">
        <f>M30-N30</f>
        <v>11.606400000000001</v>
      </c>
      <c r="P30">
        <f>O30*1.25</f>
        <v>14.507999999999999</v>
      </c>
    </row>
    <row r="31" spans="1:16" s="126" customFormat="1" x14ac:dyDescent="0.2">
      <c r="A31" s="166" t="s">
        <v>60</v>
      </c>
      <c r="B31" s="166"/>
      <c r="C31" s="166"/>
      <c r="D31" s="167" t="s">
        <v>61</v>
      </c>
      <c r="E31" s="172"/>
      <c r="F31" s="173"/>
      <c r="G31" s="546" t="s">
        <v>233</v>
      </c>
      <c r="H31" s="548">
        <f>H33+H34+H35+H37+H40</f>
        <v>3778.98</v>
      </c>
      <c r="I31" s="134"/>
    </row>
    <row r="32" spans="1:16" s="126" customFormat="1" x14ac:dyDescent="0.2">
      <c r="A32" s="166" t="s">
        <v>62</v>
      </c>
      <c r="B32" s="166"/>
      <c r="C32" s="166"/>
      <c r="D32" s="167" t="s">
        <v>214</v>
      </c>
      <c r="E32" s="172"/>
      <c r="F32" s="173"/>
      <c r="G32" s="547"/>
      <c r="H32" s="549"/>
      <c r="I32" s="134"/>
    </row>
    <row r="33" spans="1:16" s="126" customFormat="1" ht="38.25" x14ac:dyDescent="0.2">
      <c r="A33" s="147" t="s">
        <v>62</v>
      </c>
      <c r="B33" s="147">
        <v>71701</v>
      </c>
      <c r="C33" s="147" t="s">
        <v>239</v>
      </c>
      <c r="D33" s="155" t="s">
        <v>242</v>
      </c>
      <c r="E33" s="156" t="s">
        <v>114</v>
      </c>
      <c r="F33" s="150">
        <f>1.2*1*4</f>
        <v>4.8</v>
      </c>
      <c r="G33" s="151">
        <f>P33</f>
        <v>334.07</v>
      </c>
      <c r="H33" s="180">
        <f>F33*G33</f>
        <v>1603.54</v>
      </c>
      <c r="I33" s="134">
        <f>H33*10</f>
        <v>16035.4</v>
      </c>
      <c r="K33" s="127"/>
      <c r="L33" s="196">
        <v>0.28000000000000003</v>
      </c>
      <c r="M33">
        <v>371.19</v>
      </c>
      <c r="N33">
        <f>L33*M33</f>
        <v>103.9332</v>
      </c>
      <c r="O33">
        <f>M33-N33</f>
        <v>267.2568</v>
      </c>
      <c r="P33">
        <f>O33*1.25</f>
        <v>334.07100000000003</v>
      </c>
    </row>
    <row r="34" spans="1:16" s="126" customFormat="1" ht="24" customHeight="1" x14ac:dyDescent="0.2">
      <c r="A34" s="147" t="s">
        <v>64</v>
      </c>
      <c r="B34" s="156">
        <v>130317</v>
      </c>
      <c r="C34" s="147" t="s">
        <v>239</v>
      </c>
      <c r="D34" s="157" t="s">
        <v>352</v>
      </c>
      <c r="E34" s="156" t="s">
        <v>27</v>
      </c>
      <c r="F34" s="150">
        <f>1.2*4</f>
        <v>4.8</v>
      </c>
      <c r="G34" s="151">
        <f>P34</f>
        <v>61.18</v>
      </c>
      <c r="H34" s="180">
        <f>F34*G34</f>
        <v>293.66000000000003</v>
      </c>
      <c r="I34" s="134"/>
      <c r="K34" s="80"/>
      <c r="L34" s="196">
        <v>0.28000000000000003</v>
      </c>
      <c r="M34">
        <v>67.98</v>
      </c>
      <c r="N34">
        <f>L34*M34</f>
        <v>19.034400000000002</v>
      </c>
      <c r="O34">
        <f>M34-N34</f>
        <v>48.945599999999999</v>
      </c>
      <c r="P34">
        <f>O34*1.25</f>
        <v>61.182000000000002</v>
      </c>
    </row>
    <row r="35" spans="1:16" s="130" customFormat="1" ht="25.5" x14ac:dyDescent="0.2">
      <c r="A35" s="147" t="s">
        <v>66</v>
      </c>
      <c r="B35" s="147" t="s">
        <v>245</v>
      </c>
      <c r="C35" s="147" t="s">
        <v>244</v>
      </c>
      <c r="D35" s="155" t="s">
        <v>229</v>
      </c>
      <c r="E35" s="156" t="s">
        <v>67</v>
      </c>
      <c r="F35" s="150">
        <v>4</v>
      </c>
      <c r="G35" s="151">
        <v>307.81</v>
      </c>
      <c r="H35" s="180">
        <f>F35*G35</f>
        <v>1231.24</v>
      </c>
      <c r="I35" s="134">
        <f>H35*10</f>
        <v>12312.4</v>
      </c>
      <c r="K35" s="80">
        <v>200.14</v>
      </c>
      <c r="L35" s="196">
        <v>0.28000000000000003</v>
      </c>
      <c r="M35">
        <v>102.85</v>
      </c>
      <c r="N35">
        <f>L35*M35</f>
        <v>28.797999999999998</v>
      </c>
      <c r="O35">
        <f>M35-N35</f>
        <v>74.052000000000007</v>
      </c>
      <c r="P35">
        <f>O35*1.25</f>
        <v>92.564999999999998</v>
      </c>
    </row>
    <row r="36" spans="1:16" s="130" customFormat="1" x14ac:dyDescent="0.2">
      <c r="A36" s="147" t="s">
        <v>294</v>
      </c>
      <c r="B36" s="166"/>
      <c r="C36" s="166"/>
      <c r="D36" s="167" t="s">
        <v>230</v>
      </c>
      <c r="E36" s="175"/>
      <c r="F36" s="176"/>
      <c r="G36" s="174"/>
      <c r="H36" s="181"/>
      <c r="I36" s="134"/>
      <c r="K36" s="125"/>
    </row>
    <row r="37" spans="1:16" s="130" customFormat="1" ht="25.5" x14ac:dyDescent="0.2">
      <c r="A37" s="147" t="s">
        <v>295</v>
      </c>
      <c r="B37" s="147">
        <v>80102</v>
      </c>
      <c r="C37" s="147" t="s">
        <v>239</v>
      </c>
      <c r="D37" s="155" t="s">
        <v>231</v>
      </c>
      <c r="E37" s="156" t="s">
        <v>114</v>
      </c>
      <c r="F37" s="150">
        <f>F33</f>
        <v>4.8</v>
      </c>
      <c r="G37" s="151">
        <f>P37</f>
        <v>70.73</v>
      </c>
      <c r="H37" s="180">
        <f>F37*G37</f>
        <v>339.5</v>
      </c>
      <c r="I37" s="134">
        <f>H37*10</f>
        <v>3395</v>
      </c>
      <c r="K37" s="125"/>
      <c r="L37" s="196">
        <v>0.28000000000000003</v>
      </c>
      <c r="M37">
        <v>78.59</v>
      </c>
      <c r="N37">
        <f>L37*M37</f>
        <v>22.005199999999999</v>
      </c>
      <c r="O37">
        <f>M37-N37</f>
        <v>56.584800000000001</v>
      </c>
      <c r="P37">
        <f>O37*1.25</f>
        <v>70.730999999999995</v>
      </c>
    </row>
    <row r="38" spans="1:16" s="130" customFormat="1" x14ac:dyDescent="0.2">
      <c r="A38" s="147" t="s">
        <v>296</v>
      </c>
      <c r="B38" s="147"/>
      <c r="C38" s="147"/>
      <c r="D38" s="155"/>
      <c r="E38" s="156"/>
      <c r="F38" s="150"/>
      <c r="G38" s="151"/>
      <c r="H38" s="151"/>
      <c r="I38" s="134"/>
      <c r="K38" s="125"/>
    </row>
    <row r="39" spans="1:16" s="130" customFormat="1" x14ac:dyDescent="0.2">
      <c r="A39" s="147" t="s">
        <v>297</v>
      </c>
      <c r="B39" s="166"/>
      <c r="C39" s="166"/>
      <c r="D39" s="167" t="s">
        <v>232</v>
      </c>
      <c r="E39" s="175"/>
      <c r="F39" s="176"/>
      <c r="G39" s="174"/>
      <c r="H39" s="181"/>
      <c r="I39" s="134"/>
      <c r="K39" s="125"/>
    </row>
    <row r="40" spans="1:16" s="130" customFormat="1" ht="25.5" x14ac:dyDescent="0.2">
      <c r="A40" s="147" t="s">
        <v>298</v>
      </c>
      <c r="B40" s="147">
        <v>61102</v>
      </c>
      <c r="C40" s="147" t="s">
        <v>239</v>
      </c>
      <c r="D40" s="155" t="s">
        <v>336</v>
      </c>
      <c r="E40" s="156" t="s">
        <v>222</v>
      </c>
      <c r="F40" s="150">
        <v>4</v>
      </c>
      <c r="G40" s="151">
        <f>P40</f>
        <v>77.760000000000005</v>
      </c>
      <c r="H40" s="180">
        <f>F40*G40</f>
        <v>311.04000000000002</v>
      </c>
      <c r="I40" s="134">
        <f>H40*10</f>
        <v>3110.4</v>
      </c>
      <c r="K40" s="125"/>
      <c r="L40" s="196">
        <v>0.28000000000000003</v>
      </c>
      <c r="M40">
        <v>86.4</v>
      </c>
      <c r="N40">
        <f>L40*M40</f>
        <v>24.192</v>
      </c>
      <c r="O40">
        <f>M40-N40</f>
        <v>62.207999999999998</v>
      </c>
      <c r="P40">
        <f>O40*1.25</f>
        <v>77.760000000000005</v>
      </c>
    </row>
    <row r="41" spans="1:16" s="126" customFormat="1" x14ac:dyDescent="0.2">
      <c r="A41" s="166" t="s">
        <v>68</v>
      </c>
      <c r="B41" s="166"/>
      <c r="C41" s="166"/>
      <c r="D41" s="167" t="s">
        <v>71</v>
      </c>
      <c r="E41" s="172"/>
      <c r="F41" s="173"/>
      <c r="G41" s="174" t="s">
        <v>233</v>
      </c>
      <c r="H41" s="181">
        <f>SUM(H42+H43)</f>
        <v>9191.15</v>
      </c>
      <c r="I41" s="134"/>
    </row>
    <row r="42" spans="1:16" s="126" customFormat="1" ht="38.25" x14ac:dyDescent="0.2">
      <c r="A42" s="147" t="s">
        <v>122</v>
      </c>
      <c r="B42" s="147">
        <v>72076</v>
      </c>
      <c r="C42" s="147" t="s">
        <v>244</v>
      </c>
      <c r="D42" s="157" t="s">
        <v>247</v>
      </c>
      <c r="E42" s="156" t="s">
        <v>171</v>
      </c>
      <c r="F42" s="150">
        <f>3.6*7.6+3.32*7.6</f>
        <v>52.59</v>
      </c>
      <c r="G42" s="151">
        <f>77.81*1.25</f>
        <v>97.26</v>
      </c>
      <c r="H42" s="180">
        <f>F42*G42</f>
        <v>5114.8999999999996</v>
      </c>
      <c r="I42" s="134">
        <f>H42*10</f>
        <v>51149</v>
      </c>
      <c r="L42" s="196"/>
      <c r="M42"/>
      <c r="N42"/>
      <c r="O42"/>
      <c r="P42"/>
    </row>
    <row r="43" spans="1:16" s="141" customFormat="1" ht="25.5" x14ac:dyDescent="0.2">
      <c r="A43" s="147" t="s">
        <v>371</v>
      </c>
      <c r="B43" s="147" t="s">
        <v>354</v>
      </c>
      <c r="C43" s="147" t="s">
        <v>244</v>
      </c>
      <c r="D43" s="157" t="s">
        <v>353</v>
      </c>
      <c r="E43" s="156" t="s">
        <v>171</v>
      </c>
      <c r="F43" s="150">
        <f>F42</f>
        <v>52.59</v>
      </c>
      <c r="G43" s="151">
        <f>62.01*1.25</f>
        <v>77.510000000000005</v>
      </c>
      <c r="H43" s="180">
        <f>F43*G43</f>
        <v>4076.25</v>
      </c>
      <c r="I43" s="134"/>
      <c r="L43" s="196"/>
      <c r="M43"/>
      <c r="N43"/>
      <c r="O43"/>
      <c r="P43"/>
    </row>
    <row r="44" spans="1:16" s="126" customFormat="1" x14ac:dyDescent="0.2">
      <c r="A44" s="166" t="s">
        <v>70</v>
      </c>
      <c r="B44" s="166"/>
      <c r="C44" s="166"/>
      <c r="D44" s="167" t="s">
        <v>75</v>
      </c>
      <c r="E44" s="172"/>
      <c r="F44" s="173"/>
      <c r="G44" s="174" t="s">
        <v>233</v>
      </c>
      <c r="H44" s="181">
        <f>H45+H46+H47+H48</f>
        <v>2281.4</v>
      </c>
      <c r="I44" s="134"/>
    </row>
    <row r="45" spans="1:16" s="129" customFormat="1" ht="25.5" x14ac:dyDescent="0.2">
      <c r="A45" s="147" t="s">
        <v>356</v>
      </c>
      <c r="B45" s="147">
        <f>B27</f>
        <v>40333</v>
      </c>
      <c r="C45" s="147" t="s">
        <v>244</v>
      </c>
      <c r="D45" s="155" t="s">
        <v>250</v>
      </c>
      <c r="E45" s="156" t="s">
        <v>225</v>
      </c>
      <c r="F45" s="150">
        <f>F48*0.08</f>
        <v>2.86</v>
      </c>
      <c r="G45" s="151">
        <f>G27</f>
        <v>6.16</v>
      </c>
      <c r="H45" s="180">
        <f>F45*G45</f>
        <v>17.62</v>
      </c>
      <c r="I45" s="134">
        <f>H45*10</f>
        <v>176.2</v>
      </c>
      <c r="K45" s="80">
        <v>11.85</v>
      </c>
      <c r="L45" s="196">
        <v>0.28000000000000003</v>
      </c>
      <c r="M45">
        <v>6.84</v>
      </c>
      <c r="N45">
        <f>L45*M45</f>
        <v>1.9152</v>
      </c>
      <c r="O45">
        <f>M45-N45</f>
        <v>4.9248000000000003</v>
      </c>
      <c r="P45">
        <f>O45*1.25</f>
        <v>6.1559999999999997</v>
      </c>
    </row>
    <row r="46" spans="1:16" s="126" customFormat="1" ht="25.5" x14ac:dyDescent="0.2">
      <c r="A46" s="147" t="s">
        <v>357</v>
      </c>
      <c r="B46" s="147">
        <v>130303</v>
      </c>
      <c r="C46" s="147" t="s">
        <v>239</v>
      </c>
      <c r="D46" s="155" t="s">
        <v>333</v>
      </c>
      <c r="E46" s="156" t="s">
        <v>27</v>
      </c>
      <c r="F46" s="150">
        <f>2.6*4+3.3*2+3.4*2+2.8+1.9+1+0.9+2.3+3.3+2.8+3.4+2+4.4+0.8+1-0.8*4</f>
        <v>47.2</v>
      </c>
      <c r="G46" s="151">
        <f>P46</f>
        <v>9.9499999999999993</v>
      </c>
      <c r="H46" s="180">
        <f>F46*G46</f>
        <v>469.64</v>
      </c>
      <c r="I46" s="134"/>
      <c r="K46" s="125"/>
      <c r="L46" s="196">
        <v>0.28000000000000003</v>
      </c>
      <c r="M46">
        <v>11.05</v>
      </c>
      <c r="N46">
        <f>L46*M46</f>
        <v>3.0939999999999999</v>
      </c>
      <c r="O46">
        <f>M46-N46</f>
        <v>7.9560000000000004</v>
      </c>
      <c r="P46">
        <f>O46*1.25</f>
        <v>9.9450000000000003</v>
      </c>
    </row>
    <row r="47" spans="1:16" s="126" customFormat="1" ht="25.5" x14ac:dyDescent="0.2">
      <c r="A47" s="147" t="s">
        <v>358</v>
      </c>
      <c r="B47" s="147">
        <v>130103</v>
      </c>
      <c r="C47" s="147" t="s">
        <v>239</v>
      </c>
      <c r="D47" s="155" t="s">
        <v>249</v>
      </c>
      <c r="E47" s="156" t="s">
        <v>38</v>
      </c>
      <c r="F47" s="150">
        <f>F48</f>
        <v>35.74</v>
      </c>
      <c r="G47" s="151">
        <f>P47</f>
        <v>15.79</v>
      </c>
      <c r="H47" s="180">
        <f>F47*G47</f>
        <v>564.33000000000004</v>
      </c>
      <c r="I47" s="134"/>
      <c r="K47" s="125"/>
      <c r="L47" s="196">
        <v>0.28000000000000003</v>
      </c>
      <c r="M47">
        <v>17.54</v>
      </c>
      <c r="N47">
        <f>L47*M47</f>
        <v>4.9112</v>
      </c>
      <c r="O47">
        <f>M47-N47</f>
        <v>12.6288</v>
      </c>
      <c r="P47">
        <f>O47*1.25</f>
        <v>15.786</v>
      </c>
    </row>
    <row r="48" spans="1:16" s="141" customFormat="1" ht="46.5" customHeight="1" x14ac:dyDescent="0.2">
      <c r="A48" s="147" t="s">
        <v>359</v>
      </c>
      <c r="B48" s="147">
        <v>87247</v>
      </c>
      <c r="C48" s="147" t="s">
        <v>244</v>
      </c>
      <c r="D48" s="161" t="s">
        <v>350</v>
      </c>
      <c r="E48" s="147" t="str">
        <f>E47</f>
        <v>m2  </v>
      </c>
      <c r="F48" s="150">
        <f>8.34+8.58+8.5+9.52+0.8</f>
        <v>35.74</v>
      </c>
      <c r="G48" s="151">
        <f>27.53*1.25</f>
        <v>34.409999999999997</v>
      </c>
      <c r="H48" s="180">
        <f>F48*G48</f>
        <v>1229.81</v>
      </c>
      <c r="I48" s="134"/>
    </row>
    <row r="49" spans="1:16" s="126" customFormat="1" x14ac:dyDescent="0.2">
      <c r="A49" s="166" t="s">
        <v>90</v>
      </c>
      <c r="B49" s="166"/>
      <c r="C49" s="166"/>
      <c r="D49" s="167" t="s">
        <v>277</v>
      </c>
      <c r="E49" s="172"/>
      <c r="F49" s="173"/>
      <c r="G49" s="172" t="s">
        <v>233</v>
      </c>
      <c r="H49" s="181">
        <f>H50+H51+H52+H53+H54+H55+H56</f>
        <v>834.95</v>
      </c>
      <c r="I49" s="134"/>
    </row>
    <row r="50" spans="1:16" s="126" customFormat="1" ht="25.5" x14ac:dyDescent="0.2">
      <c r="A50" s="147" t="s">
        <v>92</v>
      </c>
      <c r="B50" s="147" t="s">
        <v>279</v>
      </c>
      <c r="C50" s="147" t="s">
        <v>244</v>
      </c>
      <c r="D50" s="163" t="s">
        <v>278</v>
      </c>
      <c r="E50" s="158" t="s">
        <v>67</v>
      </c>
      <c r="F50" s="159">
        <v>5</v>
      </c>
      <c r="G50" s="151">
        <f>42.8*1.25</f>
        <v>53.5</v>
      </c>
      <c r="H50" s="180">
        <f t="shared" ref="H50:H56" si="5">F50*G50</f>
        <v>267.5</v>
      </c>
      <c r="I50" s="134">
        <f t="shared" ref="I50:I67" si="6">H50*10</f>
        <v>2675</v>
      </c>
    </row>
    <row r="51" spans="1:16" s="126" customFormat="1" ht="43.5" customHeight="1" x14ac:dyDescent="0.2">
      <c r="A51" s="147" t="s">
        <v>93</v>
      </c>
      <c r="B51" s="147">
        <v>83540</v>
      </c>
      <c r="C51" s="147" t="s">
        <v>244</v>
      </c>
      <c r="D51" s="163" t="s">
        <v>280</v>
      </c>
      <c r="E51" s="158" t="s">
        <v>67</v>
      </c>
      <c r="F51" s="159">
        <v>5</v>
      </c>
      <c r="G51" s="151">
        <f>12.06*1.25</f>
        <v>15.08</v>
      </c>
      <c r="H51" s="180">
        <f t="shared" si="5"/>
        <v>75.400000000000006</v>
      </c>
      <c r="I51" s="134">
        <f t="shared" si="6"/>
        <v>754</v>
      </c>
    </row>
    <row r="52" spans="1:16" s="126" customFormat="1" ht="69.75" customHeight="1" x14ac:dyDescent="0.2">
      <c r="A52" s="147" t="s">
        <v>94</v>
      </c>
      <c r="B52" s="147">
        <v>83466</v>
      </c>
      <c r="C52" s="147" t="s">
        <v>244</v>
      </c>
      <c r="D52" s="163" t="s">
        <v>287</v>
      </c>
      <c r="E52" s="158" t="s">
        <v>67</v>
      </c>
      <c r="F52" s="159">
        <v>4</v>
      </c>
      <c r="G52" s="151">
        <f>21.93*1.25</f>
        <v>27.41</v>
      </c>
      <c r="H52" s="180">
        <f t="shared" si="5"/>
        <v>109.64</v>
      </c>
      <c r="I52" s="134"/>
    </row>
    <row r="53" spans="1:16" s="126" customFormat="1" ht="69.75" customHeight="1" x14ac:dyDescent="0.2">
      <c r="A53" s="147" t="s">
        <v>95</v>
      </c>
      <c r="B53" s="147">
        <v>72331</v>
      </c>
      <c r="C53" s="147" t="s">
        <v>244</v>
      </c>
      <c r="D53" s="163" t="s">
        <v>288</v>
      </c>
      <c r="E53" s="158" t="s">
        <v>67</v>
      </c>
      <c r="F53" s="159">
        <v>1</v>
      </c>
      <c r="G53" s="151">
        <f>9.8*1.25</f>
        <v>12.25</v>
      </c>
      <c r="H53" s="180">
        <f t="shared" si="5"/>
        <v>12.25</v>
      </c>
      <c r="I53" s="134"/>
    </row>
    <row r="54" spans="1:16" s="126" customFormat="1" ht="38.25" x14ac:dyDescent="0.2">
      <c r="A54" s="147" t="s">
        <v>96</v>
      </c>
      <c r="B54" s="147" t="s">
        <v>283</v>
      </c>
      <c r="C54" s="147" t="s">
        <v>244</v>
      </c>
      <c r="D54" s="163" t="s">
        <v>282</v>
      </c>
      <c r="E54" s="158" t="s">
        <v>67</v>
      </c>
      <c r="F54" s="159">
        <v>1</v>
      </c>
      <c r="G54" s="151">
        <f>11.52*1.25</f>
        <v>14.4</v>
      </c>
      <c r="H54" s="180">
        <f t="shared" si="5"/>
        <v>14.4</v>
      </c>
      <c r="I54" s="134">
        <f t="shared" si="6"/>
        <v>144</v>
      </c>
    </row>
    <row r="55" spans="1:16" s="126" customFormat="1" ht="38.25" x14ac:dyDescent="0.2">
      <c r="A55" s="147" t="s">
        <v>97</v>
      </c>
      <c r="B55" s="147" t="s">
        <v>284</v>
      </c>
      <c r="C55" s="147" t="s">
        <v>244</v>
      </c>
      <c r="D55" s="155" t="s">
        <v>281</v>
      </c>
      <c r="E55" s="156" t="s">
        <v>67</v>
      </c>
      <c r="F55" s="150">
        <v>1</v>
      </c>
      <c r="G55" s="151">
        <f>54.31*1.25</f>
        <v>67.89</v>
      </c>
      <c r="H55" s="180">
        <f t="shared" si="5"/>
        <v>67.89</v>
      </c>
      <c r="I55" s="134">
        <f t="shared" si="6"/>
        <v>678.9</v>
      </c>
    </row>
    <row r="56" spans="1:16" ht="25.5" x14ac:dyDescent="0.2">
      <c r="A56" s="147" t="s">
        <v>98</v>
      </c>
      <c r="B56" s="147">
        <v>150306</v>
      </c>
      <c r="C56" s="147" t="s">
        <v>239</v>
      </c>
      <c r="D56" s="155" t="s">
        <v>285</v>
      </c>
      <c r="E56" s="156" t="s">
        <v>67</v>
      </c>
      <c r="F56" s="150">
        <v>1</v>
      </c>
      <c r="G56" s="151">
        <f>P56</f>
        <v>287.87</v>
      </c>
      <c r="H56" s="180">
        <f t="shared" si="5"/>
        <v>287.87</v>
      </c>
      <c r="I56" s="134">
        <f t="shared" si="6"/>
        <v>2878.7</v>
      </c>
      <c r="L56" s="196">
        <v>0.28000000000000003</v>
      </c>
      <c r="M56">
        <v>319.85000000000002</v>
      </c>
      <c r="N56">
        <f>L56*M56</f>
        <v>89.558000000000007</v>
      </c>
      <c r="O56">
        <f>M56-N56</f>
        <v>230.292</v>
      </c>
      <c r="P56">
        <f>O56*1.25</f>
        <v>287.86500000000001</v>
      </c>
    </row>
    <row r="57" spans="1:16" x14ac:dyDescent="0.2">
      <c r="A57" s="166" t="s">
        <v>105</v>
      </c>
      <c r="B57" s="166"/>
      <c r="C57" s="166"/>
      <c r="D57" s="167" t="s">
        <v>106</v>
      </c>
      <c r="E57" s="172"/>
      <c r="F57" s="173"/>
      <c r="G57" s="172" t="s">
        <v>233</v>
      </c>
      <c r="H57" s="181">
        <f>H58+H59+H60+H61</f>
        <v>1932.25</v>
      </c>
      <c r="I57" s="134"/>
    </row>
    <row r="58" spans="1:16" ht="38.25" x14ac:dyDescent="0.2">
      <c r="A58" s="147" t="s">
        <v>108</v>
      </c>
      <c r="B58" s="147">
        <v>151801</v>
      </c>
      <c r="C58" s="147" t="s">
        <v>239</v>
      </c>
      <c r="D58" s="164" t="s">
        <v>223</v>
      </c>
      <c r="E58" s="149" t="s">
        <v>67</v>
      </c>
      <c r="F58" s="150">
        <v>5</v>
      </c>
      <c r="G58" s="151">
        <f>P58</f>
        <v>126.39</v>
      </c>
      <c r="H58" s="180">
        <f>F58*G58</f>
        <v>631.95000000000005</v>
      </c>
      <c r="I58" s="134">
        <f t="shared" si="6"/>
        <v>6319.5</v>
      </c>
      <c r="K58" s="80">
        <v>6.48</v>
      </c>
      <c r="L58" s="196">
        <v>0.28000000000000003</v>
      </c>
      <c r="M58">
        <v>140.43</v>
      </c>
      <c r="N58">
        <f>L58*M58</f>
        <v>39.320399999999999</v>
      </c>
      <c r="O58">
        <f>M58-N58</f>
        <v>101.1096</v>
      </c>
      <c r="P58">
        <f>O58*1.25</f>
        <v>126.387</v>
      </c>
    </row>
    <row r="59" spans="1:16" ht="38.25" x14ac:dyDescent="0.2">
      <c r="A59" s="147" t="s">
        <v>109</v>
      </c>
      <c r="B59" s="147">
        <v>151803</v>
      </c>
      <c r="C59" s="147" t="s">
        <v>239</v>
      </c>
      <c r="D59" s="164" t="s">
        <v>289</v>
      </c>
      <c r="E59" s="149" t="s">
        <v>67</v>
      </c>
      <c r="F59" s="150">
        <f>F51</f>
        <v>5</v>
      </c>
      <c r="G59" s="151">
        <f>P59</f>
        <v>129.29</v>
      </c>
      <c r="H59" s="180">
        <f>F59*G59</f>
        <v>646.45000000000005</v>
      </c>
      <c r="I59" s="134">
        <f t="shared" si="6"/>
        <v>6464.5</v>
      </c>
      <c r="K59" s="80">
        <v>10.17</v>
      </c>
      <c r="L59" s="196">
        <v>0.28000000000000003</v>
      </c>
      <c r="M59">
        <v>143.66</v>
      </c>
      <c r="N59">
        <f>L59*M59</f>
        <v>40.224800000000002</v>
      </c>
      <c r="O59">
        <f>M59-N59</f>
        <v>103.43519999999999</v>
      </c>
      <c r="P59">
        <f>O59*1.25</f>
        <v>129.29400000000001</v>
      </c>
    </row>
    <row r="60" spans="1:16" ht="38.25" x14ac:dyDescent="0.2">
      <c r="A60" s="147" t="s">
        <v>206</v>
      </c>
      <c r="B60" s="147">
        <v>151809</v>
      </c>
      <c r="C60" s="147" t="s">
        <v>239</v>
      </c>
      <c r="D60" s="164" t="s">
        <v>226</v>
      </c>
      <c r="E60" s="149" t="s">
        <v>67</v>
      </c>
      <c r="F60" s="150">
        <v>1</v>
      </c>
      <c r="G60" s="151">
        <f>P60</f>
        <v>113.41</v>
      </c>
      <c r="H60" s="180">
        <f>F60*G60</f>
        <v>113.41</v>
      </c>
      <c r="I60" s="134">
        <f t="shared" si="6"/>
        <v>1134.0999999999999</v>
      </c>
      <c r="K60" s="80"/>
      <c r="L60" s="196">
        <v>0.28000000000000003</v>
      </c>
      <c r="M60">
        <v>126.01</v>
      </c>
      <c r="N60">
        <f>L60*M60</f>
        <v>35.282800000000002</v>
      </c>
      <c r="O60">
        <f>M60-N60</f>
        <v>90.727199999999996</v>
      </c>
      <c r="P60">
        <f>O60*1.25</f>
        <v>113.40900000000001</v>
      </c>
    </row>
    <row r="61" spans="1:16" ht="51" x14ac:dyDescent="0.2">
      <c r="A61" s="147" t="s">
        <v>207</v>
      </c>
      <c r="B61" s="147">
        <v>151811</v>
      </c>
      <c r="C61" s="147" t="s">
        <v>239</v>
      </c>
      <c r="D61" s="164" t="s">
        <v>290</v>
      </c>
      <c r="E61" s="149" t="s">
        <v>67</v>
      </c>
      <c r="F61" s="150">
        <v>4</v>
      </c>
      <c r="G61" s="151">
        <f>P61</f>
        <v>135.11000000000001</v>
      </c>
      <c r="H61" s="180">
        <f>F61*G61</f>
        <v>540.44000000000005</v>
      </c>
      <c r="I61" s="134">
        <f t="shared" si="6"/>
        <v>5404.4</v>
      </c>
      <c r="K61" s="80">
        <v>1.4</v>
      </c>
      <c r="L61" s="196">
        <v>0.28000000000000003</v>
      </c>
      <c r="M61">
        <v>150.12</v>
      </c>
      <c r="N61">
        <f>L61*M61</f>
        <v>42.0336</v>
      </c>
      <c r="O61">
        <f>M61-N61</f>
        <v>108.0864</v>
      </c>
      <c r="P61">
        <f>O61*1.25</f>
        <v>135.108</v>
      </c>
    </row>
    <row r="62" spans="1:16" x14ac:dyDescent="0.2">
      <c r="A62" s="166" t="s">
        <v>111</v>
      </c>
      <c r="B62" s="166"/>
      <c r="C62" s="166"/>
      <c r="D62" s="167" t="s">
        <v>112</v>
      </c>
      <c r="E62" s="172"/>
      <c r="F62" s="173"/>
      <c r="G62" s="172" t="s">
        <v>233</v>
      </c>
      <c r="H62" s="181">
        <f>H63+H64</f>
        <v>4041.29</v>
      </c>
      <c r="I62" s="134"/>
    </row>
    <row r="63" spans="1:16" ht="38.25" x14ac:dyDescent="0.2">
      <c r="A63" s="147" t="s">
        <v>113</v>
      </c>
      <c r="B63" s="147">
        <v>190106</v>
      </c>
      <c r="C63" s="147" t="s">
        <v>239</v>
      </c>
      <c r="D63" s="148" t="s">
        <v>368</v>
      </c>
      <c r="E63" s="149" t="s">
        <v>114</v>
      </c>
      <c r="F63" s="150">
        <f>F28</f>
        <v>209.52</v>
      </c>
      <c r="G63" s="151">
        <f>P63</f>
        <v>17.690000000000001</v>
      </c>
      <c r="H63" s="180">
        <f>F63*G63</f>
        <v>3706.41</v>
      </c>
      <c r="I63" s="134">
        <f t="shared" si="6"/>
        <v>37064.1</v>
      </c>
      <c r="K63" s="80">
        <v>5.37</v>
      </c>
      <c r="L63" s="196">
        <v>0.28000000000000003</v>
      </c>
      <c r="M63">
        <v>19.66</v>
      </c>
      <c r="N63">
        <f>L63*M63</f>
        <v>5.5048000000000004</v>
      </c>
      <c r="O63">
        <f>M63-N63</f>
        <v>14.155200000000001</v>
      </c>
      <c r="P63">
        <f>O63*1.25</f>
        <v>17.693999999999999</v>
      </c>
    </row>
    <row r="64" spans="1:16" ht="25.5" x14ac:dyDescent="0.2">
      <c r="A64" s="147" t="s">
        <v>309</v>
      </c>
      <c r="B64" s="147">
        <v>190302</v>
      </c>
      <c r="C64" s="147" t="s">
        <v>239</v>
      </c>
      <c r="D64" s="148" t="s">
        <v>248</v>
      </c>
      <c r="E64" s="149" t="s">
        <v>114</v>
      </c>
      <c r="F64" s="150">
        <f>0.8*2.1*2*4+2.1*0.15*2*4+0.15*0.8*2*4+2.1*0.05*4*4+0.8*0.05*2*4</f>
        <v>18.920000000000002</v>
      </c>
      <c r="G64" s="151">
        <f>P64</f>
        <v>17.7</v>
      </c>
      <c r="H64" s="180">
        <f>F64*G64</f>
        <v>334.88</v>
      </c>
      <c r="I64" s="134">
        <f t="shared" si="6"/>
        <v>3348.8</v>
      </c>
      <c r="K64" s="80">
        <v>7.17</v>
      </c>
      <c r="L64" s="196">
        <v>0.28000000000000003</v>
      </c>
      <c r="M64">
        <v>19.670000000000002</v>
      </c>
      <c r="N64">
        <f>L64*M64</f>
        <v>5.5076000000000001</v>
      </c>
      <c r="O64">
        <f>M64-N64</f>
        <v>14.1624</v>
      </c>
      <c r="P64">
        <f>O64*1.25</f>
        <v>17.702999999999999</v>
      </c>
    </row>
    <row r="65" spans="1:16" s="73" customFormat="1" x14ac:dyDescent="0.2">
      <c r="A65" s="147"/>
      <c r="B65" s="147"/>
      <c r="C65" s="147"/>
      <c r="D65" s="157"/>
      <c r="E65" s="147"/>
      <c r="F65" s="150"/>
      <c r="G65" s="151"/>
      <c r="H65" s="151"/>
      <c r="I65" s="134"/>
    </row>
    <row r="66" spans="1:16" x14ac:dyDescent="0.2">
      <c r="A66" s="166" t="s">
        <v>203</v>
      </c>
      <c r="B66" s="166"/>
      <c r="C66" s="166"/>
      <c r="D66" s="167" t="s">
        <v>115</v>
      </c>
      <c r="E66" s="172"/>
      <c r="F66" s="173"/>
      <c r="G66" s="172" t="s">
        <v>233</v>
      </c>
      <c r="H66" s="181">
        <f>SUM(H67)</f>
        <v>301.45</v>
      </c>
      <c r="I66" s="134"/>
    </row>
    <row r="67" spans="1:16" x14ac:dyDescent="0.2">
      <c r="A67" s="147" t="s">
        <v>208</v>
      </c>
      <c r="B67" s="147">
        <v>200401</v>
      </c>
      <c r="C67" s="147" t="s">
        <v>239</v>
      </c>
      <c r="D67" s="148" t="s">
        <v>116</v>
      </c>
      <c r="E67" s="149" t="s">
        <v>114</v>
      </c>
      <c r="F67" s="150">
        <v>39.200000000000003</v>
      </c>
      <c r="G67" s="151">
        <f>P67</f>
        <v>7.69</v>
      </c>
      <c r="H67" s="180">
        <f>F67*G67</f>
        <v>301.45</v>
      </c>
      <c r="I67" s="134">
        <f t="shared" si="6"/>
        <v>3014.5</v>
      </c>
      <c r="K67" s="80">
        <v>2.2200000000000002</v>
      </c>
      <c r="L67" s="196">
        <v>0.28000000000000003</v>
      </c>
      <c r="M67">
        <v>8.5399999999999991</v>
      </c>
      <c r="N67">
        <f>L67*M67</f>
        <v>2.3912</v>
      </c>
      <c r="O67">
        <f>M67-N67</f>
        <v>6.1487999999999996</v>
      </c>
      <c r="P67">
        <f>O67*1.25</f>
        <v>7.6859999999999999</v>
      </c>
    </row>
    <row r="68" spans="1:16" s="73" customFormat="1" ht="13.5" thickBot="1" x14ac:dyDescent="0.25">
      <c r="A68" s="147"/>
      <c r="B68" s="147"/>
      <c r="C68" s="147"/>
      <c r="D68" s="157"/>
      <c r="E68" s="147"/>
      <c r="F68" s="150"/>
      <c r="G68" s="151"/>
      <c r="H68" s="151"/>
      <c r="I68" s="134"/>
    </row>
    <row r="69" spans="1:16" ht="13.5" thickBot="1" x14ac:dyDescent="0.25">
      <c r="A69" s="169"/>
      <c r="B69" s="169"/>
      <c r="C69" s="169"/>
      <c r="D69" s="170" t="s">
        <v>369</v>
      </c>
      <c r="E69" s="171"/>
      <c r="F69" s="171"/>
      <c r="G69" s="168"/>
      <c r="H69" s="182">
        <f>H66+H62+H57+H49+H44+H41+H31+H25+H14+H11</f>
        <v>50599.26</v>
      </c>
      <c r="I69" s="135"/>
      <c r="L69" s="237"/>
    </row>
    <row r="70" spans="1:16" x14ac:dyDescent="0.2">
      <c r="A70" s="145"/>
      <c r="B70" s="145"/>
      <c r="C70" s="145"/>
      <c r="D70" s="170" t="s">
        <v>374</v>
      </c>
      <c r="E70" s="146"/>
      <c r="F70" s="146"/>
      <c r="G70" s="153"/>
      <c r="H70" s="182">
        <f>H69*2</f>
        <v>101198.52</v>
      </c>
      <c r="I70" s="142"/>
    </row>
    <row r="71" spans="1:16" x14ac:dyDescent="0.2">
      <c r="A71" s="21"/>
      <c r="B71" s="21"/>
      <c r="C71" s="21"/>
      <c r="D71" s="22"/>
      <c r="E71" s="21"/>
      <c r="F71" s="21"/>
      <c r="G71" s="21"/>
      <c r="H71" s="21"/>
      <c r="I71" s="23"/>
    </row>
    <row r="72" spans="1:16" x14ac:dyDescent="0.2">
      <c r="A72" s="21"/>
      <c r="B72" s="21"/>
      <c r="C72" s="21"/>
      <c r="D72" s="21"/>
      <c r="E72" s="21"/>
      <c r="F72" s="21"/>
      <c r="G72" s="21"/>
      <c r="H72" s="21"/>
      <c r="I72" s="23"/>
    </row>
    <row r="73" spans="1:16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16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16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16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16" x14ac:dyDescent="0.2">
      <c r="A77" s="21"/>
      <c r="B77" s="21"/>
      <c r="C77" s="21"/>
      <c r="D77" s="238"/>
      <c r="E77" s="21"/>
      <c r="F77" s="21"/>
      <c r="G77" s="21"/>
      <c r="H77" s="21"/>
      <c r="I77" s="21"/>
    </row>
    <row r="78" spans="1:16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16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16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</sheetData>
  <mergeCells count="13">
    <mergeCell ref="I8:I9"/>
    <mergeCell ref="G31:G32"/>
    <mergeCell ref="H31:H32"/>
    <mergeCell ref="A1:H2"/>
    <mergeCell ref="A3:H3"/>
    <mergeCell ref="A4:H4"/>
    <mergeCell ref="A5:H5"/>
    <mergeCell ref="A8:A9"/>
    <mergeCell ref="B8:B9"/>
    <mergeCell ref="C8:C9"/>
    <mergeCell ref="D8:D9"/>
    <mergeCell ref="E8:E9"/>
    <mergeCell ref="F8:F9"/>
  </mergeCells>
  <printOptions horizontalCentered="1"/>
  <pageMargins left="0.65" right="0.59055118110236227" top="1.84" bottom="0.59055118110236227" header="0.47244094488188981" footer="0.31496062992125984"/>
  <pageSetup paperSize="9" scale="64" orientation="portrait" horizontalDpi="4294967295" verticalDpi="300" r:id="rId1"/>
  <headerFooter alignWithMargins="0">
    <oddFooter>&amp;L&amp;8   &amp;C&amp;8&amp;P/&amp;N&amp;R   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3"/>
  <sheetViews>
    <sheetView view="pageBreakPreview" zoomScaleSheetLayoutView="100" workbookViewId="0">
      <pane xSplit="4" ySplit="9" topLeftCell="E13" activePane="bottomRight" state="frozen"/>
      <selection pane="topRight" activeCell="C1" sqref="C1"/>
      <selection pane="bottomLeft" activeCell="A10" sqref="A10"/>
      <selection pane="bottomRight" activeCell="D70" sqref="D70"/>
    </sheetView>
  </sheetViews>
  <sheetFormatPr defaultRowHeight="12.75" x14ac:dyDescent="0.2"/>
  <cols>
    <col min="1" max="1" width="8.5703125" customWidth="1"/>
    <col min="2" max="2" width="10.85546875" customWidth="1"/>
    <col min="3" max="3" width="10.28515625" customWidth="1"/>
    <col min="4" max="4" width="62.42578125" customWidth="1"/>
    <col min="5" max="5" width="8.85546875" customWidth="1"/>
    <col min="6" max="6" width="12.7109375" customWidth="1"/>
    <col min="7" max="7" width="12" customWidth="1"/>
    <col min="8" max="8" width="15.42578125" customWidth="1"/>
    <col min="9" max="9" width="17.85546875" hidden="1" customWidth="1"/>
    <col min="10" max="10" width="7" hidden="1" customWidth="1"/>
    <col min="11" max="11" width="10.85546875" hidden="1" customWidth="1"/>
    <col min="12" max="12" width="12.140625" bestFit="1" customWidth="1"/>
  </cols>
  <sheetData>
    <row r="1" spans="1:16" ht="12.75" customHeight="1" x14ac:dyDescent="0.2">
      <c r="A1" s="550" t="s">
        <v>234</v>
      </c>
      <c r="B1" s="551"/>
      <c r="C1" s="551"/>
      <c r="D1" s="551"/>
      <c r="E1" s="551"/>
      <c r="F1" s="551"/>
      <c r="G1" s="551"/>
      <c r="H1" s="552"/>
      <c r="I1" s="143"/>
    </row>
    <row r="2" spans="1:16" ht="15" customHeight="1" x14ac:dyDescent="0.2">
      <c r="A2" s="553"/>
      <c r="B2" s="554"/>
      <c r="C2" s="554"/>
      <c r="D2" s="554"/>
      <c r="E2" s="554"/>
      <c r="F2" s="554"/>
      <c r="G2" s="554"/>
      <c r="H2" s="555"/>
      <c r="I2" s="132"/>
    </row>
    <row r="3" spans="1:16" ht="15.75" customHeight="1" x14ac:dyDescent="0.2">
      <c r="A3" s="556" t="s">
        <v>235</v>
      </c>
      <c r="B3" s="557"/>
      <c r="C3" s="557"/>
      <c r="D3" s="557"/>
      <c r="E3" s="557"/>
      <c r="F3" s="557"/>
      <c r="G3" s="557"/>
      <c r="H3" s="558"/>
      <c r="L3" s="150">
        <f>(5.6*2+7*2+2*2+1.5+2.5)*0.1*0.15+2*0.1*0.15*2+1.4*0.1*0.15+2.6*0.1*0.1</f>
        <v>0.61</v>
      </c>
      <c r="M3">
        <f>(5.6+5.6+7+7+2+2+1.4+2.65)</f>
        <v>33.25</v>
      </c>
    </row>
    <row r="4" spans="1:16" ht="15.75" customHeight="1" x14ac:dyDescent="0.2">
      <c r="A4" s="559" t="s">
        <v>373</v>
      </c>
      <c r="B4" s="560"/>
      <c r="C4" s="560"/>
      <c r="D4" s="560"/>
      <c r="E4" s="560"/>
      <c r="F4" s="560"/>
      <c r="G4" s="560"/>
      <c r="H4" s="561"/>
      <c r="K4" s="123" t="s">
        <v>210</v>
      </c>
      <c r="O4" s="86">
        <f>O6-F21</f>
        <v>-0.89</v>
      </c>
    </row>
    <row r="5" spans="1:16" ht="17.25" customHeight="1" x14ac:dyDescent="0.2">
      <c r="A5" s="562" t="s">
        <v>372</v>
      </c>
      <c r="B5" s="563"/>
      <c r="C5" s="563"/>
      <c r="D5" s="563"/>
      <c r="E5" s="563"/>
      <c r="F5" s="563"/>
      <c r="G5" s="563"/>
      <c r="H5" s="564"/>
      <c r="I5" s="131"/>
      <c r="M5" s="86"/>
      <c r="O5" s="86"/>
    </row>
    <row r="6" spans="1:16" ht="17.25" customHeight="1" x14ac:dyDescent="0.2">
      <c r="A6" s="190" t="s">
        <v>236</v>
      </c>
      <c r="B6" s="185"/>
      <c r="C6" s="186"/>
      <c r="D6" s="186"/>
      <c r="E6" s="186"/>
      <c r="F6" s="186"/>
      <c r="G6" s="186"/>
      <c r="H6" s="189"/>
      <c r="I6" s="144"/>
      <c r="L6" s="150">
        <f>(5.6*2+7*2+2*2+1.5+2.5)*0.25*0.12+2*0.25*0.12*2+1.4*0.25*0.12+2.5*0.25*0.12</f>
        <v>1.23</v>
      </c>
      <c r="M6">
        <f>0.4*0.4*0.4*12+2.65*0.15*0.2*12</f>
        <v>1.722</v>
      </c>
      <c r="O6" s="86">
        <f>L6+L3+M6+N6</f>
        <v>3.56</v>
      </c>
    </row>
    <row r="7" spans="1:16" ht="17.25" customHeight="1" thickBot="1" x14ac:dyDescent="0.25">
      <c r="A7" s="191" t="s">
        <v>335</v>
      </c>
      <c r="B7" s="192"/>
      <c r="C7" s="193"/>
      <c r="D7" s="194"/>
      <c r="E7" s="194"/>
      <c r="F7" s="194"/>
      <c r="G7" s="194"/>
      <c r="H7" s="195"/>
      <c r="I7" s="144"/>
    </row>
    <row r="8" spans="1:16" x14ac:dyDescent="0.2">
      <c r="A8" s="565" t="s">
        <v>5</v>
      </c>
      <c r="B8" s="567" t="s">
        <v>237</v>
      </c>
      <c r="C8" s="567" t="s">
        <v>238</v>
      </c>
      <c r="D8" s="569" t="s">
        <v>6</v>
      </c>
      <c r="E8" s="571" t="s">
        <v>7</v>
      </c>
      <c r="F8" s="571" t="s">
        <v>8</v>
      </c>
      <c r="G8" s="136" t="s">
        <v>9</v>
      </c>
      <c r="H8" s="137" t="s">
        <v>10</v>
      </c>
      <c r="I8" s="544" t="s">
        <v>11</v>
      </c>
      <c r="K8" s="124"/>
    </row>
    <row r="9" spans="1:16" ht="13.5" thickBot="1" x14ac:dyDescent="0.25">
      <c r="A9" s="566"/>
      <c r="B9" s="568"/>
      <c r="C9" s="568"/>
      <c r="D9" s="570"/>
      <c r="E9" s="572"/>
      <c r="F9" s="572"/>
      <c r="G9" s="138" t="s">
        <v>13</v>
      </c>
      <c r="H9" s="139" t="s">
        <v>14</v>
      </c>
      <c r="I9" s="545"/>
      <c r="K9" s="124"/>
    </row>
    <row r="10" spans="1:16" x14ac:dyDescent="0.2">
      <c r="A10" s="187"/>
      <c r="B10" s="187"/>
      <c r="C10" s="187"/>
      <c r="D10" s="183"/>
      <c r="E10" s="184"/>
      <c r="F10" s="184"/>
      <c r="G10" s="188"/>
      <c r="H10" s="188"/>
      <c r="I10" s="133"/>
    </row>
    <row r="11" spans="1:16" x14ac:dyDescent="0.2">
      <c r="A11" s="166" t="s">
        <v>23</v>
      </c>
      <c r="B11" s="166"/>
      <c r="C11" s="166"/>
      <c r="D11" s="167" t="s">
        <v>36</v>
      </c>
      <c r="E11" s="177"/>
      <c r="F11" s="177"/>
      <c r="G11" s="177" t="s">
        <v>233</v>
      </c>
      <c r="H11" s="179">
        <f>SUM(H13+H12)</f>
        <v>714.64</v>
      </c>
      <c r="I11" s="134"/>
      <c r="K11" s="123"/>
    </row>
    <row r="12" spans="1:16" x14ac:dyDescent="0.2">
      <c r="A12" s="147" t="s">
        <v>15</v>
      </c>
      <c r="B12" s="147">
        <v>10501</v>
      </c>
      <c r="C12" s="147" t="s">
        <v>239</v>
      </c>
      <c r="D12" s="148" t="s">
        <v>37</v>
      </c>
      <c r="E12" s="149" t="s">
        <v>38</v>
      </c>
      <c r="F12" s="150">
        <v>39.200000000000003</v>
      </c>
      <c r="G12" s="151">
        <f>P12</f>
        <v>9.49</v>
      </c>
      <c r="H12" s="180">
        <f>F12*G12</f>
        <v>372.01</v>
      </c>
      <c r="I12" s="134">
        <f>H12*10</f>
        <v>3720.1</v>
      </c>
      <c r="K12" s="15">
        <v>2.85</v>
      </c>
      <c r="L12" s="196">
        <v>0.28000000000000003</v>
      </c>
      <c r="M12">
        <v>10.54</v>
      </c>
      <c r="N12">
        <f>L12*M12</f>
        <v>2.9512</v>
      </c>
      <c r="O12">
        <f>M12-N12</f>
        <v>7.5888</v>
      </c>
      <c r="P12">
        <f>O12*1.25</f>
        <v>9.4860000000000007</v>
      </c>
    </row>
    <row r="13" spans="1:16" ht="38.25" x14ac:dyDescent="0.2">
      <c r="A13" s="147" t="s">
        <v>204</v>
      </c>
      <c r="B13" s="147">
        <v>20347</v>
      </c>
      <c r="C13" s="147" t="s">
        <v>239</v>
      </c>
      <c r="D13" s="152" t="s">
        <v>211</v>
      </c>
      <c r="E13" s="153" t="s">
        <v>114</v>
      </c>
      <c r="F13" s="154">
        <v>9</v>
      </c>
      <c r="G13" s="151">
        <f>P13</f>
        <v>38.07</v>
      </c>
      <c r="H13" s="180">
        <f>F13*G13</f>
        <v>342.63</v>
      </c>
      <c r="I13" s="134">
        <f>H13*10</f>
        <v>3426.3</v>
      </c>
      <c r="K13" s="15"/>
      <c r="L13" s="196">
        <v>0.28000000000000003</v>
      </c>
      <c r="M13">
        <v>42.3</v>
      </c>
      <c r="N13">
        <f>L13*M13</f>
        <v>11.843999999999999</v>
      </c>
      <c r="O13">
        <f>M13-N13</f>
        <v>30.456</v>
      </c>
      <c r="P13">
        <f>O13*1.25</f>
        <v>38.07</v>
      </c>
    </row>
    <row r="14" spans="1:16" x14ac:dyDescent="0.2">
      <c r="A14" s="166" t="s">
        <v>30</v>
      </c>
      <c r="B14" s="166"/>
      <c r="C14" s="166"/>
      <c r="D14" s="167" t="s">
        <v>39</v>
      </c>
      <c r="E14" s="172"/>
      <c r="F14" s="173"/>
      <c r="G14" s="173" t="s">
        <v>233</v>
      </c>
      <c r="H14" s="174">
        <f>H15+H16+H17+H18+H19+H20+H21+H22+H23+H24</f>
        <v>12536.72</v>
      </c>
      <c r="I14" s="134"/>
    </row>
    <row r="15" spans="1:16" s="126" customFormat="1" ht="25.5" x14ac:dyDescent="0.2">
      <c r="A15" s="147" t="s">
        <v>33</v>
      </c>
      <c r="B15" s="147">
        <v>30101</v>
      </c>
      <c r="C15" s="147" t="s">
        <v>239</v>
      </c>
      <c r="D15" s="155" t="s">
        <v>212</v>
      </c>
      <c r="E15" s="156" t="s">
        <v>41</v>
      </c>
      <c r="F15" s="150">
        <f>1.5*0.8*0.8*9+(5.4*3+7*3)*0.35*0.35+0.9*0.4*0.2+1*0.4*0.2</f>
        <v>13.35</v>
      </c>
      <c r="G15" s="151">
        <f t="shared" ref="G15:G24" si="0">P15</f>
        <v>35.69</v>
      </c>
      <c r="H15" s="180">
        <f t="shared" ref="H15:H24" si="1">F15*G15</f>
        <v>476.46</v>
      </c>
      <c r="I15" s="134">
        <f>H15*10</f>
        <v>4764.6000000000004</v>
      </c>
      <c r="K15" s="15">
        <v>12.69</v>
      </c>
      <c r="L15" s="196">
        <v>0.28000000000000003</v>
      </c>
      <c r="M15">
        <v>39.659999999999997</v>
      </c>
      <c r="N15">
        <f t="shared" ref="N15:N24" si="2">L15*M15</f>
        <v>11.104799999999999</v>
      </c>
      <c r="O15">
        <f t="shared" ref="O15:O24" si="3">M15-N15</f>
        <v>28.555199999999999</v>
      </c>
      <c r="P15">
        <f t="shared" ref="P15:P24" si="4">O15*1.25</f>
        <v>35.694000000000003</v>
      </c>
    </row>
    <row r="16" spans="1:16" s="126" customFormat="1" x14ac:dyDescent="0.2">
      <c r="A16" s="147" t="s">
        <v>42</v>
      </c>
      <c r="B16" s="147">
        <v>30201</v>
      </c>
      <c r="C16" s="147" t="s">
        <v>239</v>
      </c>
      <c r="D16" s="155" t="s">
        <v>252</v>
      </c>
      <c r="E16" s="156" t="s">
        <v>41</v>
      </c>
      <c r="F16" s="150">
        <f>(5.6*2+7*2+2.05*2+1.5+2.5)*0.1*2*0.45</f>
        <v>3</v>
      </c>
      <c r="G16" s="151">
        <f>P16</f>
        <v>38.44</v>
      </c>
      <c r="H16" s="180">
        <f>F16*G16</f>
        <v>115.32</v>
      </c>
      <c r="I16" s="134"/>
      <c r="K16" s="15"/>
      <c r="L16" s="196">
        <v>0.28000000000000003</v>
      </c>
      <c r="M16">
        <v>42.71</v>
      </c>
      <c r="N16">
        <f>L16*M16</f>
        <v>11.9588</v>
      </c>
      <c r="O16">
        <f>M16-N16</f>
        <v>30.751200000000001</v>
      </c>
      <c r="P16">
        <f>O16*1.25</f>
        <v>38.439</v>
      </c>
    </row>
    <row r="17" spans="1:16" s="130" customFormat="1" x14ac:dyDescent="0.2">
      <c r="A17" s="147" t="s">
        <v>44</v>
      </c>
      <c r="B17" s="147">
        <v>30119</v>
      </c>
      <c r="C17" s="147" t="s">
        <v>239</v>
      </c>
      <c r="D17" s="155" t="s">
        <v>251</v>
      </c>
      <c r="E17" s="156" t="s">
        <v>38</v>
      </c>
      <c r="F17" s="150">
        <f>0.8*0.8*9+(5.4*3+7*3)*0.35+0.9*0.2+1*0.2</f>
        <v>19.16</v>
      </c>
      <c r="G17" s="151">
        <f>P17</f>
        <v>18.670000000000002</v>
      </c>
      <c r="H17" s="180">
        <f t="shared" si="1"/>
        <v>357.72</v>
      </c>
      <c r="I17" s="134">
        <f>H17*10</f>
        <v>3577.2</v>
      </c>
      <c r="K17" s="15">
        <v>4.76</v>
      </c>
      <c r="L17" s="196">
        <v>0.28000000000000003</v>
      </c>
      <c r="M17">
        <v>20.74</v>
      </c>
      <c r="N17">
        <f t="shared" si="2"/>
        <v>5.8071999999999999</v>
      </c>
      <c r="O17">
        <f t="shared" si="3"/>
        <v>14.9328</v>
      </c>
      <c r="P17">
        <f t="shared" si="4"/>
        <v>18.666</v>
      </c>
    </row>
    <row r="18" spans="1:16" s="126" customFormat="1" ht="25.5" x14ac:dyDescent="0.2">
      <c r="A18" s="147" t="s">
        <v>45</v>
      </c>
      <c r="B18" s="147">
        <v>30206</v>
      </c>
      <c r="C18" s="147" t="s">
        <v>239</v>
      </c>
      <c r="D18" s="155" t="s">
        <v>213</v>
      </c>
      <c r="E18" s="156" t="s">
        <v>41</v>
      </c>
      <c r="F18" s="150">
        <f>F48*0.4</f>
        <v>14.3</v>
      </c>
      <c r="G18" s="151">
        <f>P18</f>
        <v>88.97</v>
      </c>
      <c r="H18" s="180">
        <f t="shared" si="1"/>
        <v>1272.27</v>
      </c>
      <c r="I18" s="134">
        <f>H18*10</f>
        <v>12722.7</v>
      </c>
      <c r="K18" s="15">
        <v>29.05</v>
      </c>
      <c r="L18" s="196">
        <v>0.28000000000000003</v>
      </c>
      <c r="M18">
        <v>98.86</v>
      </c>
      <c r="N18">
        <f t="shared" si="2"/>
        <v>27.680800000000001</v>
      </c>
      <c r="O18">
        <f t="shared" si="3"/>
        <v>71.179199999999994</v>
      </c>
      <c r="P18">
        <f t="shared" si="4"/>
        <v>88.974000000000004</v>
      </c>
    </row>
    <row r="19" spans="1:16" s="130" customFormat="1" ht="38.25" x14ac:dyDescent="0.2">
      <c r="A19" s="147" t="s">
        <v>47</v>
      </c>
      <c r="B19" s="147">
        <v>50501</v>
      </c>
      <c r="C19" s="147" t="s">
        <v>239</v>
      </c>
      <c r="D19" s="155" t="s">
        <v>215</v>
      </c>
      <c r="E19" s="156" t="s">
        <v>38</v>
      </c>
      <c r="F19" s="150">
        <f>(5.4*3+7*3)*0.2+0.9*0.8+1*0.8</f>
        <v>8.9600000000000009</v>
      </c>
      <c r="G19" s="151">
        <f t="shared" si="0"/>
        <v>76.73</v>
      </c>
      <c r="H19" s="180">
        <f t="shared" si="1"/>
        <v>687.5</v>
      </c>
      <c r="I19" s="134">
        <f>H19*10</f>
        <v>6875</v>
      </c>
      <c r="K19" s="80">
        <v>18.829999999999998</v>
      </c>
      <c r="L19" s="196">
        <v>0.28000000000000003</v>
      </c>
      <c r="M19">
        <v>85.25</v>
      </c>
      <c r="N19">
        <f t="shared" si="2"/>
        <v>23.87</v>
      </c>
      <c r="O19">
        <f t="shared" si="3"/>
        <v>61.38</v>
      </c>
      <c r="P19">
        <f t="shared" si="4"/>
        <v>76.724999999999994</v>
      </c>
    </row>
    <row r="20" spans="1:16" s="129" customFormat="1" ht="25.5" x14ac:dyDescent="0.2">
      <c r="A20" s="147" t="s">
        <v>49</v>
      </c>
      <c r="B20" s="147">
        <v>40231</v>
      </c>
      <c r="C20" s="147" t="s">
        <v>239</v>
      </c>
      <c r="D20" s="155" t="s">
        <v>338</v>
      </c>
      <c r="E20" s="156" t="s">
        <v>41</v>
      </c>
      <c r="F20" s="150">
        <f>0.6*0.6*0.05*9+(5.4*3+7*3)*0.05*0.15</f>
        <v>0.44</v>
      </c>
      <c r="G20" s="151">
        <f t="shared" si="0"/>
        <v>404.12</v>
      </c>
      <c r="H20" s="180">
        <f t="shared" si="1"/>
        <v>177.81</v>
      </c>
      <c r="I20" s="134">
        <f>H20*10</f>
        <v>1778.1</v>
      </c>
      <c r="K20" s="15">
        <v>177.98</v>
      </c>
      <c r="L20" s="196">
        <v>0.28000000000000003</v>
      </c>
      <c r="M20">
        <v>449.02</v>
      </c>
      <c r="N20">
        <f t="shared" si="2"/>
        <v>125.7256</v>
      </c>
      <c r="O20">
        <f t="shared" si="3"/>
        <v>323.2944</v>
      </c>
      <c r="P20">
        <f t="shared" si="4"/>
        <v>404.11799999999999</v>
      </c>
    </row>
    <row r="21" spans="1:16" s="126" customFormat="1" ht="25.5" x14ac:dyDescent="0.2">
      <c r="A21" s="147" t="s">
        <v>227</v>
      </c>
      <c r="B21" s="147">
        <v>40235</v>
      </c>
      <c r="C21" s="147" t="s">
        <v>239</v>
      </c>
      <c r="D21" s="155" t="s">
        <v>334</v>
      </c>
      <c r="E21" s="156" t="s">
        <v>41</v>
      </c>
      <c r="F21" s="150">
        <f>0.6*0.6*0.4*9+(5.4*3+7*3)*0.15*0.3+1.45*0.1*0.3*9+2.6*0.1*0.3*9+(5.4*3+7*3)*0.1*0.1+1*0.1*0.1+0.9*0.1*0.1</f>
        <v>4.45</v>
      </c>
      <c r="G21" s="151">
        <f t="shared" si="0"/>
        <v>440.6</v>
      </c>
      <c r="H21" s="180">
        <f t="shared" si="1"/>
        <v>1960.67</v>
      </c>
      <c r="I21" s="134">
        <f>H21*10</f>
        <v>19606.7</v>
      </c>
      <c r="K21" s="80">
        <v>188.68</v>
      </c>
      <c r="L21" s="196">
        <v>0.28000000000000003</v>
      </c>
      <c r="M21">
        <v>489.56</v>
      </c>
      <c r="N21">
        <f t="shared" si="2"/>
        <v>137.07679999999999</v>
      </c>
      <c r="O21">
        <f t="shared" si="3"/>
        <v>352.48320000000001</v>
      </c>
      <c r="P21">
        <f t="shared" si="4"/>
        <v>440.60399999999998</v>
      </c>
    </row>
    <row r="22" spans="1:16" s="126" customFormat="1" ht="38.25" x14ac:dyDescent="0.2">
      <c r="A22" s="147" t="s">
        <v>253</v>
      </c>
      <c r="B22" s="147">
        <v>40250</v>
      </c>
      <c r="C22" s="147" t="s">
        <v>239</v>
      </c>
      <c r="D22" s="155" t="s">
        <v>331</v>
      </c>
      <c r="E22" s="156" t="s">
        <v>114</v>
      </c>
      <c r="F22" s="150">
        <f>0.6*0.4*4*9+1.45*0.1*2*9+0.3*1.45*2*9+2.6*0.1*2*9+0.3*2.6*2*9+(5.4*3+7*3)*0.3*2+(5.4*3+7*3)*0.1*2+0.9*0.1*2+1*0.1*2</f>
        <v>67.94</v>
      </c>
      <c r="G22" s="151">
        <f>P22</f>
        <v>78.260000000000005</v>
      </c>
      <c r="H22" s="180">
        <f>F22*G22</f>
        <v>5316.98</v>
      </c>
      <c r="I22" s="134"/>
      <c r="K22" s="80"/>
      <c r="L22" s="196">
        <v>0.28000000000000003</v>
      </c>
      <c r="M22">
        <v>86.95</v>
      </c>
      <c r="N22">
        <f>L22*M22</f>
        <v>24.346</v>
      </c>
      <c r="O22">
        <f>M22-N22</f>
        <v>62.603999999999999</v>
      </c>
      <c r="P22">
        <f>O22*1.25</f>
        <v>78.254999999999995</v>
      </c>
    </row>
    <row r="23" spans="1:16" s="126" customFormat="1" ht="25.5" x14ac:dyDescent="0.2">
      <c r="A23" s="147" t="s">
        <v>254</v>
      </c>
      <c r="B23" s="147">
        <v>40333</v>
      </c>
      <c r="C23" s="147" t="s">
        <v>239</v>
      </c>
      <c r="D23" s="155" t="s">
        <v>255</v>
      </c>
      <c r="E23" s="156" t="s">
        <v>205</v>
      </c>
      <c r="F23" s="150">
        <f>18*0.64*0.148*9+(55*2+26*2+69*2+20*2+13+69)*0.148*0.64+26*0.148*0.64*9</f>
        <v>77.48</v>
      </c>
      <c r="G23" s="151">
        <f>P23</f>
        <v>6.16</v>
      </c>
      <c r="H23" s="180">
        <f>F23*G23</f>
        <v>477.28</v>
      </c>
      <c r="I23" s="134"/>
      <c r="K23" s="80"/>
      <c r="L23" s="196">
        <v>0.28000000000000003</v>
      </c>
      <c r="M23">
        <v>6.84</v>
      </c>
      <c r="N23">
        <f>L23*M23</f>
        <v>1.9152</v>
      </c>
      <c r="O23">
        <f>M23-N23</f>
        <v>4.9248000000000003</v>
      </c>
      <c r="P23">
        <f>O23*1.25</f>
        <v>6.1559999999999997</v>
      </c>
    </row>
    <row r="24" spans="1:16" s="126" customFormat="1" ht="25.5" x14ac:dyDescent="0.2">
      <c r="A24" s="147" t="s">
        <v>332</v>
      </c>
      <c r="B24" s="147">
        <v>40243</v>
      </c>
      <c r="C24" s="147" t="s">
        <v>239</v>
      </c>
      <c r="D24" s="155" t="s">
        <v>209</v>
      </c>
      <c r="E24" s="156" t="s">
        <v>205</v>
      </c>
      <c r="F24" s="150">
        <f>1.22*6*0.393*2*9+4*2.25*0.395*9+(6.22*4*0.393)*2+3.29*4*0.393+(7.62*4*0.393)*2+(7.62*4*0.393)*2+2*0.393*6.94+2.72*4*0.393*2+2.04*0.393*2+2.02*4*0.393+2*1.34*0.393+4*2.6*0.393*12+0.393*2*33.25</f>
        <v>251.44</v>
      </c>
      <c r="G24" s="151">
        <f t="shared" si="0"/>
        <v>6.74</v>
      </c>
      <c r="H24" s="180">
        <f t="shared" si="1"/>
        <v>1694.71</v>
      </c>
      <c r="I24" s="134">
        <f>H24*10</f>
        <v>16947.099999999999</v>
      </c>
      <c r="J24" s="140"/>
      <c r="K24" s="80">
        <v>2.86</v>
      </c>
      <c r="L24" s="196">
        <v>0.28000000000000003</v>
      </c>
      <c r="M24">
        <v>7.49</v>
      </c>
      <c r="N24">
        <f t="shared" si="2"/>
        <v>2.0972</v>
      </c>
      <c r="O24">
        <f t="shared" si="3"/>
        <v>5.3928000000000003</v>
      </c>
      <c r="P24">
        <f t="shared" si="4"/>
        <v>6.7409999999999997</v>
      </c>
    </row>
    <row r="25" spans="1:16" s="126" customFormat="1" x14ac:dyDescent="0.2">
      <c r="A25" s="166" t="s">
        <v>51</v>
      </c>
      <c r="B25" s="166"/>
      <c r="C25" s="166"/>
      <c r="D25" s="167" t="s">
        <v>52</v>
      </c>
      <c r="E25" s="172"/>
      <c r="F25" s="173"/>
      <c r="G25" s="173" t="s">
        <v>233</v>
      </c>
      <c r="H25" s="181">
        <f>H26+H27+H28+H29+H30</f>
        <v>11253.24</v>
      </c>
      <c r="I25" s="134"/>
      <c r="K25" s="80"/>
    </row>
    <row r="26" spans="1:16" s="126" customFormat="1" ht="51" x14ac:dyDescent="0.2">
      <c r="A26" s="147" t="s">
        <v>53</v>
      </c>
      <c r="B26" s="147">
        <v>50606</v>
      </c>
      <c r="C26" s="147" t="s">
        <v>239</v>
      </c>
      <c r="D26" s="155" t="s">
        <v>240</v>
      </c>
      <c r="E26" s="156" t="s">
        <v>38</v>
      </c>
      <c r="F26" s="150">
        <f>((5.4*3+7*3+1)*2.6-(1.2*1*4+0.8*4))*1.1</f>
        <v>100.45</v>
      </c>
      <c r="G26" s="151">
        <f>P26</f>
        <v>40</v>
      </c>
      <c r="H26" s="180">
        <f>F26*G26</f>
        <v>4018</v>
      </c>
      <c r="I26" s="134">
        <f>H26*10</f>
        <v>40180</v>
      </c>
      <c r="K26" s="80">
        <v>15.03</v>
      </c>
      <c r="L26" s="196">
        <v>0.28000000000000003</v>
      </c>
      <c r="M26">
        <v>44.44</v>
      </c>
      <c r="N26">
        <f>L26*M26</f>
        <v>12.443199999999999</v>
      </c>
      <c r="O26">
        <f>M26-N26</f>
        <v>31.9968</v>
      </c>
      <c r="P26">
        <f>O26*1.25</f>
        <v>39.996000000000002</v>
      </c>
    </row>
    <row r="27" spans="1:16" s="126" customFormat="1" ht="25.5" x14ac:dyDescent="0.2">
      <c r="A27" s="147" t="s">
        <v>54</v>
      </c>
      <c r="B27" s="147">
        <v>40333</v>
      </c>
      <c r="C27" s="147" t="s">
        <v>239</v>
      </c>
      <c r="D27" s="155" t="s">
        <v>256</v>
      </c>
      <c r="E27" s="156" t="s">
        <v>41</v>
      </c>
      <c r="F27" s="150">
        <f>1.4*4+1*4</f>
        <v>9.6</v>
      </c>
      <c r="G27" s="151">
        <f>P27</f>
        <v>6.16</v>
      </c>
      <c r="H27" s="180">
        <f>F27*G27</f>
        <v>59.14</v>
      </c>
      <c r="I27" s="134">
        <f>H27*10</f>
        <v>591.4</v>
      </c>
      <c r="K27" s="80">
        <v>188.68</v>
      </c>
      <c r="L27" s="196">
        <v>0.28000000000000003</v>
      </c>
      <c r="M27">
        <v>6.84</v>
      </c>
      <c r="N27">
        <f>L27*M27</f>
        <v>1.9152</v>
      </c>
      <c r="O27">
        <f>M27-N27</f>
        <v>4.9248000000000003</v>
      </c>
      <c r="P27">
        <f>O27*1.25</f>
        <v>6.1559999999999997</v>
      </c>
    </row>
    <row r="28" spans="1:16" s="126" customFormat="1" ht="25.5" x14ac:dyDescent="0.2">
      <c r="A28" s="147" t="s">
        <v>56</v>
      </c>
      <c r="B28" s="147">
        <v>120101</v>
      </c>
      <c r="C28" s="147" t="s">
        <v>239</v>
      </c>
      <c r="D28" s="155" t="s">
        <v>345</v>
      </c>
      <c r="E28" s="156" t="s">
        <v>114</v>
      </c>
      <c r="F28" s="150">
        <f>F29+F30</f>
        <v>209.52</v>
      </c>
      <c r="G28" s="151">
        <f>P28</f>
        <v>4.57</v>
      </c>
      <c r="H28" s="180">
        <f>F28*G28</f>
        <v>957.51</v>
      </c>
      <c r="I28" s="134"/>
      <c r="K28" s="80"/>
      <c r="L28" s="196">
        <v>0.28000000000000003</v>
      </c>
      <c r="M28">
        <v>5.08</v>
      </c>
      <c r="N28">
        <f>L28*M28</f>
        <v>1.4224000000000001</v>
      </c>
      <c r="O28">
        <f>M28-N28</f>
        <v>3.6576</v>
      </c>
      <c r="P28">
        <f>O28*1.25</f>
        <v>4.5720000000000001</v>
      </c>
    </row>
    <row r="29" spans="1:16" s="126" customFormat="1" ht="50.25" customHeight="1" x14ac:dyDescent="0.2">
      <c r="A29" s="147" t="s">
        <v>201</v>
      </c>
      <c r="B29" s="147">
        <v>87775</v>
      </c>
      <c r="C29" s="147" t="s">
        <v>244</v>
      </c>
      <c r="D29" s="155" t="s">
        <v>343</v>
      </c>
      <c r="E29" s="156" t="s">
        <v>114</v>
      </c>
      <c r="F29" s="150">
        <f>(3.08*7*2+5.6*3.08*2+(2.95*0.89/2)*2+(2.65*0.89/2)*2-(1.2*1*4+0.8*2.1))*1.05</f>
        <v>79.930000000000007</v>
      </c>
      <c r="G29" s="151">
        <f>30.9*1.25</f>
        <v>38.630000000000003</v>
      </c>
      <c r="H29" s="180">
        <f>F29*G29</f>
        <v>3087.7</v>
      </c>
      <c r="I29" s="134"/>
      <c r="K29" s="80"/>
      <c r="L29" s="196"/>
      <c r="M29"/>
      <c r="N29"/>
      <c r="O29"/>
      <c r="P29"/>
    </row>
    <row r="30" spans="1:16" s="126" customFormat="1" ht="56.25" customHeight="1" x14ac:dyDescent="0.2">
      <c r="A30" s="147" t="s">
        <v>202</v>
      </c>
      <c r="B30" s="147">
        <v>87533</v>
      </c>
      <c r="C30" s="147" t="s">
        <v>244</v>
      </c>
      <c r="D30" s="155" t="s">
        <v>341</v>
      </c>
      <c r="E30" s="156" t="s">
        <v>38</v>
      </c>
      <c r="F30" s="150">
        <f>((2.6*4+3.3*2+3.4*4+2.8+2+1+0.8+4.4+2.8+3.3+2.3+0.9+1)*2.6-(0.8*2.1*4+1.2*1*4))*1.05</f>
        <v>129.59</v>
      </c>
      <c r="G30" s="151">
        <f>19.33*1.25</f>
        <v>24.16</v>
      </c>
      <c r="H30" s="180">
        <f>F30*G30</f>
        <v>3130.89</v>
      </c>
      <c r="I30" s="134">
        <f>H30*10</f>
        <v>31308.9</v>
      </c>
      <c r="K30" s="80">
        <v>10.19</v>
      </c>
      <c r="L30" s="196">
        <v>0.28000000000000003</v>
      </c>
      <c r="M30">
        <v>16.12</v>
      </c>
      <c r="N30">
        <f>L30*M30</f>
        <v>4.5136000000000003</v>
      </c>
      <c r="O30">
        <f>M30-N30</f>
        <v>11.606400000000001</v>
      </c>
      <c r="P30">
        <f>O30*1.25</f>
        <v>14.507999999999999</v>
      </c>
    </row>
    <row r="31" spans="1:16" s="126" customFormat="1" x14ac:dyDescent="0.2">
      <c r="A31" s="166" t="s">
        <v>60</v>
      </c>
      <c r="B31" s="166"/>
      <c r="C31" s="166"/>
      <c r="D31" s="167" t="s">
        <v>61</v>
      </c>
      <c r="E31" s="172"/>
      <c r="F31" s="173"/>
      <c r="G31" s="546" t="s">
        <v>233</v>
      </c>
      <c r="H31" s="548">
        <f>H33+H34+H35+H37+H40</f>
        <v>3778.98</v>
      </c>
      <c r="I31" s="134"/>
    </row>
    <row r="32" spans="1:16" s="126" customFormat="1" x14ac:dyDescent="0.2">
      <c r="A32" s="166" t="s">
        <v>62</v>
      </c>
      <c r="B32" s="166"/>
      <c r="C32" s="166"/>
      <c r="D32" s="167" t="s">
        <v>214</v>
      </c>
      <c r="E32" s="172"/>
      <c r="F32" s="173"/>
      <c r="G32" s="547"/>
      <c r="H32" s="549"/>
      <c r="I32" s="134"/>
    </row>
    <row r="33" spans="1:16" s="126" customFormat="1" ht="38.25" x14ac:dyDescent="0.2">
      <c r="A33" s="147" t="s">
        <v>62</v>
      </c>
      <c r="B33" s="147">
        <v>71701</v>
      </c>
      <c r="C33" s="147" t="s">
        <v>239</v>
      </c>
      <c r="D33" s="155" t="s">
        <v>242</v>
      </c>
      <c r="E33" s="156" t="s">
        <v>114</v>
      </c>
      <c r="F33" s="150">
        <f>1.2*1*4</f>
        <v>4.8</v>
      </c>
      <c r="G33" s="151">
        <f>P33</f>
        <v>334.07</v>
      </c>
      <c r="H33" s="180">
        <f>F33*G33</f>
        <v>1603.54</v>
      </c>
      <c r="I33" s="134">
        <f>H33*10</f>
        <v>16035.4</v>
      </c>
      <c r="K33" s="127"/>
      <c r="L33" s="196">
        <v>0.28000000000000003</v>
      </c>
      <c r="M33">
        <v>371.19</v>
      </c>
      <c r="N33">
        <f>L33*M33</f>
        <v>103.9332</v>
      </c>
      <c r="O33">
        <f>M33-N33</f>
        <v>267.2568</v>
      </c>
      <c r="P33">
        <f>O33*1.25</f>
        <v>334.07100000000003</v>
      </c>
    </row>
    <row r="34" spans="1:16" s="126" customFormat="1" ht="24" customHeight="1" x14ac:dyDescent="0.2">
      <c r="A34" s="147" t="s">
        <v>64</v>
      </c>
      <c r="B34" s="156">
        <v>130317</v>
      </c>
      <c r="C34" s="147" t="s">
        <v>239</v>
      </c>
      <c r="D34" s="157" t="s">
        <v>352</v>
      </c>
      <c r="E34" s="156" t="s">
        <v>27</v>
      </c>
      <c r="F34" s="150">
        <f>1.2*4</f>
        <v>4.8</v>
      </c>
      <c r="G34" s="151">
        <f>P34</f>
        <v>61.18</v>
      </c>
      <c r="H34" s="180">
        <f>F34*G34</f>
        <v>293.66000000000003</v>
      </c>
      <c r="I34" s="134"/>
      <c r="K34" s="80"/>
      <c r="L34" s="196">
        <v>0.28000000000000003</v>
      </c>
      <c r="M34">
        <v>67.98</v>
      </c>
      <c r="N34">
        <f>L34*M34</f>
        <v>19.034400000000002</v>
      </c>
      <c r="O34">
        <f>M34-N34</f>
        <v>48.945599999999999</v>
      </c>
      <c r="P34">
        <f>O34*1.25</f>
        <v>61.182000000000002</v>
      </c>
    </row>
    <row r="35" spans="1:16" s="130" customFormat="1" ht="25.5" x14ac:dyDescent="0.2">
      <c r="A35" s="147" t="s">
        <v>66</v>
      </c>
      <c r="B35" s="147" t="s">
        <v>245</v>
      </c>
      <c r="C35" s="147" t="s">
        <v>244</v>
      </c>
      <c r="D35" s="155" t="s">
        <v>229</v>
      </c>
      <c r="E35" s="156" t="s">
        <v>67</v>
      </c>
      <c r="F35" s="150">
        <v>4</v>
      </c>
      <c r="G35" s="151">
        <v>307.81</v>
      </c>
      <c r="H35" s="180">
        <f>F35*G35</f>
        <v>1231.24</v>
      </c>
      <c r="I35" s="134">
        <f>H35*10</f>
        <v>12312.4</v>
      </c>
      <c r="K35" s="80">
        <v>200.14</v>
      </c>
      <c r="L35" s="196">
        <v>0.28000000000000003</v>
      </c>
      <c r="M35">
        <v>102.85</v>
      </c>
      <c r="N35">
        <f>L35*M35</f>
        <v>28.797999999999998</v>
      </c>
      <c r="O35">
        <f>M35-N35</f>
        <v>74.052000000000007</v>
      </c>
      <c r="P35">
        <f>O35*1.25</f>
        <v>92.564999999999998</v>
      </c>
    </row>
    <row r="36" spans="1:16" s="130" customFormat="1" x14ac:dyDescent="0.2">
      <c r="A36" s="147" t="s">
        <v>294</v>
      </c>
      <c r="B36" s="166"/>
      <c r="C36" s="166"/>
      <c r="D36" s="167" t="s">
        <v>230</v>
      </c>
      <c r="E36" s="175"/>
      <c r="F36" s="176"/>
      <c r="G36" s="174"/>
      <c r="H36" s="181"/>
      <c r="I36" s="134"/>
      <c r="K36" s="125"/>
    </row>
    <row r="37" spans="1:16" s="130" customFormat="1" ht="25.5" x14ac:dyDescent="0.2">
      <c r="A37" s="147" t="s">
        <v>295</v>
      </c>
      <c r="B37" s="147">
        <v>80102</v>
      </c>
      <c r="C37" s="147" t="s">
        <v>239</v>
      </c>
      <c r="D37" s="155" t="s">
        <v>231</v>
      </c>
      <c r="E37" s="156" t="s">
        <v>114</v>
      </c>
      <c r="F37" s="150">
        <f>F33</f>
        <v>4.8</v>
      </c>
      <c r="G37" s="151">
        <f>P37</f>
        <v>70.73</v>
      </c>
      <c r="H37" s="180">
        <f>F37*G37</f>
        <v>339.5</v>
      </c>
      <c r="I37" s="134">
        <f>H37*10</f>
        <v>3395</v>
      </c>
      <c r="K37" s="125"/>
      <c r="L37" s="196">
        <v>0.28000000000000003</v>
      </c>
      <c r="M37">
        <v>78.59</v>
      </c>
      <c r="N37">
        <f>L37*M37</f>
        <v>22.005199999999999</v>
      </c>
      <c r="O37">
        <f>M37-N37</f>
        <v>56.584800000000001</v>
      </c>
      <c r="P37">
        <f>O37*1.25</f>
        <v>70.730999999999995</v>
      </c>
    </row>
    <row r="38" spans="1:16" s="130" customFormat="1" x14ac:dyDescent="0.2">
      <c r="A38" s="147" t="s">
        <v>296</v>
      </c>
      <c r="B38" s="147"/>
      <c r="C38" s="147"/>
      <c r="D38" s="155"/>
      <c r="E38" s="156"/>
      <c r="F38" s="150"/>
      <c r="G38" s="151"/>
      <c r="H38" s="151"/>
      <c r="I38" s="134"/>
      <c r="K38" s="125"/>
    </row>
    <row r="39" spans="1:16" s="130" customFormat="1" x14ac:dyDescent="0.2">
      <c r="A39" s="147" t="s">
        <v>297</v>
      </c>
      <c r="B39" s="166"/>
      <c r="C39" s="166"/>
      <c r="D39" s="167" t="s">
        <v>232</v>
      </c>
      <c r="E39" s="175"/>
      <c r="F39" s="176"/>
      <c r="G39" s="174"/>
      <c r="H39" s="181"/>
      <c r="I39" s="134"/>
      <c r="K39" s="125"/>
    </row>
    <row r="40" spans="1:16" s="130" customFormat="1" ht="25.5" x14ac:dyDescent="0.2">
      <c r="A40" s="147" t="s">
        <v>298</v>
      </c>
      <c r="B40" s="147">
        <v>61102</v>
      </c>
      <c r="C40" s="147" t="s">
        <v>239</v>
      </c>
      <c r="D40" s="155" t="s">
        <v>336</v>
      </c>
      <c r="E40" s="156" t="s">
        <v>222</v>
      </c>
      <c r="F40" s="150">
        <v>4</v>
      </c>
      <c r="G40" s="151">
        <f>P40</f>
        <v>77.760000000000005</v>
      </c>
      <c r="H40" s="180">
        <f>F40*G40</f>
        <v>311.04000000000002</v>
      </c>
      <c r="I40" s="134">
        <f>H40*10</f>
        <v>3110.4</v>
      </c>
      <c r="K40" s="125"/>
      <c r="L40" s="196">
        <v>0.28000000000000003</v>
      </c>
      <c r="M40">
        <v>86.4</v>
      </c>
      <c r="N40">
        <f>L40*M40</f>
        <v>24.192</v>
      </c>
      <c r="O40">
        <f>M40-N40</f>
        <v>62.207999999999998</v>
      </c>
      <c r="P40">
        <f>O40*1.25</f>
        <v>77.760000000000005</v>
      </c>
    </row>
    <row r="41" spans="1:16" s="126" customFormat="1" x14ac:dyDescent="0.2">
      <c r="A41" s="166" t="s">
        <v>68</v>
      </c>
      <c r="B41" s="166"/>
      <c r="C41" s="166"/>
      <c r="D41" s="167" t="s">
        <v>71</v>
      </c>
      <c r="E41" s="172"/>
      <c r="F41" s="173"/>
      <c r="G41" s="174" t="s">
        <v>233</v>
      </c>
      <c r="H41" s="181">
        <f>SUM(H42+H43)</f>
        <v>9191.15</v>
      </c>
      <c r="I41" s="134"/>
    </row>
    <row r="42" spans="1:16" s="126" customFormat="1" ht="38.25" x14ac:dyDescent="0.2">
      <c r="A42" s="147" t="s">
        <v>122</v>
      </c>
      <c r="B42" s="147">
        <v>72076</v>
      </c>
      <c r="C42" s="147" t="s">
        <v>244</v>
      </c>
      <c r="D42" s="157" t="s">
        <v>247</v>
      </c>
      <c r="E42" s="156" t="s">
        <v>171</v>
      </c>
      <c r="F42" s="150">
        <f>3.6*7.6+3.32*7.6</f>
        <v>52.59</v>
      </c>
      <c r="G42" s="151">
        <f>77.81*1.25</f>
        <v>97.26</v>
      </c>
      <c r="H42" s="180">
        <f>F42*G42</f>
        <v>5114.8999999999996</v>
      </c>
      <c r="I42" s="134">
        <f>H42*10</f>
        <v>51149</v>
      </c>
      <c r="L42" s="196"/>
      <c r="M42"/>
      <c r="N42"/>
      <c r="O42"/>
      <c r="P42"/>
    </row>
    <row r="43" spans="1:16" s="141" customFormat="1" ht="25.5" x14ac:dyDescent="0.2">
      <c r="A43" s="147" t="s">
        <v>371</v>
      </c>
      <c r="B43" s="147" t="s">
        <v>354</v>
      </c>
      <c r="C43" s="147" t="s">
        <v>244</v>
      </c>
      <c r="D43" s="157" t="s">
        <v>353</v>
      </c>
      <c r="E43" s="156" t="s">
        <v>171</v>
      </c>
      <c r="F43" s="150">
        <f>F42</f>
        <v>52.59</v>
      </c>
      <c r="G43" s="151">
        <f>62.01*1.25</f>
        <v>77.510000000000005</v>
      </c>
      <c r="H43" s="180">
        <f>F43*G43</f>
        <v>4076.25</v>
      </c>
      <c r="I43" s="134"/>
      <c r="L43" s="196"/>
      <c r="M43"/>
      <c r="N43"/>
      <c r="O43"/>
      <c r="P43"/>
    </row>
    <row r="44" spans="1:16" s="126" customFormat="1" x14ac:dyDescent="0.2">
      <c r="A44" s="166" t="s">
        <v>70</v>
      </c>
      <c r="B44" s="166"/>
      <c r="C44" s="166"/>
      <c r="D44" s="167" t="s">
        <v>75</v>
      </c>
      <c r="E44" s="172"/>
      <c r="F44" s="173"/>
      <c r="G44" s="174" t="s">
        <v>233</v>
      </c>
      <c r="H44" s="181">
        <f>H45+H46+H47+H48</f>
        <v>2281.4</v>
      </c>
      <c r="I44" s="134"/>
    </row>
    <row r="45" spans="1:16" s="129" customFormat="1" ht="25.5" x14ac:dyDescent="0.2">
      <c r="A45" s="147" t="s">
        <v>356</v>
      </c>
      <c r="B45" s="147">
        <f>B27</f>
        <v>40333</v>
      </c>
      <c r="C45" s="147" t="s">
        <v>244</v>
      </c>
      <c r="D45" s="155" t="s">
        <v>250</v>
      </c>
      <c r="E45" s="156" t="s">
        <v>225</v>
      </c>
      <c r="F45" s="150">
        <f>F48*0.08</f>
        <v>2.86</v>
      </c>
      <c r="G45" s="151">
        <f>G27</f>
        <v>6.16</v>
      </c>
      <c r="H45" s="180">
        <f>F45*G45</f>
        <v>17.62</v>
      </c>
      <c r="I45" s="134">
        <f>H45*10</f>
        <v>176.2</v>
      </c>
      <c r="K45" s="80">
        <v>11.85</v>
      </c>
      <c r="L45" s="196">
        <v>0.28000000000000003</v>
      </c>
      <c r="M45">
        <v>6.84</v>
      </c>
      <c r="N45">
        <f>L45*M45</f>
        <v>1.9152</v>
      </c>
      <c r="O45">
        <f>M45-N45</f>
        <v>4.9248000000000003</v>
      </c>
      <c r="P45">
        <f>O45*1.25</f>
        <v>6.1559999999999997</v>
      </c>
    </row>
    <row r="46" spans="1:16" s="126" customFormat="1" ht="25.5" x14ac:dyDescent="0.2">
      <c r="A46" s="147" t="s">
        <v>357</v>
      </c>
      <c r="B46" s="147">
        <v>130303</v>
      </c>
      <c r="C46" s="147" t="s">
        <v>239</v>
      </c>
      <c r="D46" s="155" t="s">
        <v>333</v>
      </c>
      <c r="E46" s="156" t="s">
        <v>27</v>
      </c>
      <c r="F46" s="150">
        <f>2.6*4+3.3*2+3.4*2+2.8+1.9+1+0.9+2.3+3.3+2.8+3.4+2+4.4+0.8+1-0.8*4</f>
        <v>47.2</v>
      </c>
      <c r="G46" s="151">
        <f>P46</f>
        <v>9.9499999999999993</v>
      </c>
      <c r="H46" s="180">
        <f>F46*G46</f>
        <v>469.64</v>
      </c>
      <c r="I46" s="134"/>
      <c r="K46" s="125"/>
      <c r="L46" s="196">
        <v>0.28000000000000003</v>
      </c>
      <c r="M46">
        <v>11.05</v>
      </c>
      <c r="N46">
        <f>L46*M46</f>
        <v>3.0939999999999999</v>
      </c>
      <c r="O46">
        <f>M46-N46</f>
        <v>7.9560000000000004</v>
      </c>
      <c r="P46">
        <f>O46*1.25</f>
        <v>9.9450000000000003</v>
      </c>
    </row>
    <row r="47" spans="1:16" s="126" customFormat="1" ht="25.5" x14ac:dyDescent="0.2">
      <c r="A47" s="147" t="s">
        <v>358</v>
      </c>
      <c r="B47" s="147">
        <v>130103</v>
      </c>
      <c r="C47" s="147" t="s">
        <v>239</v>
      </c>
      <c r="D47" s="155" t="s">
        <v>249</v>
      </c>
      <c r="E47" s="156" t="s">
        <v>38</v>
      </c>
      <c r="F47" s="150">
        <f>F48</f>
        <v>35.74</v>
      </c>
      <c r="G47" s="151">
        <f>P47</f>
        <v>15.79</v>
      </c>
      <c r="H47" s="180">
        <f>F47*G47</f>
        <v>564.33000000000004</v>
      </c>
      <c r="I47" s="134"/>
      <c r="K47" s="125"/>
      <c r="L47" s="196">
        <v>0.28000000000000003</v>
      </c>
      <c r="M47">
        <v>17.54</v>
      </c>
      <c r="N47">
        <f>L47*M47</f>
        <v>4.9112</v>
      </c>
      <c r="O47">
        <f>M47-N47</f>
        <v>12.6288</v>
      </c>
      <c r="P47">
        <f>O47*1.25</f>
        <v>15.786</v>
      </c>
    </row>
    <row r="48" spans="1:16" s="141" customFormat="1" ht="46.5" customHeight="1" x14ac:dyDescent="0.2">
      <c r="A48" s="147" t="s">
        <v>359</v>
      </c>
      <c r="B48" s="147">
        <v>87247</v>
      </c>
      <c r="C48" s="147" t="s">
        <v>244</v>
      </c>
      <c r="D48" s="161" t="s">
        <v>350</v>
      </c>
      <c r="E48" s="147" t="str">
        <f>E47</f>
        <v>m2  </v>
      </c>
      <c r="F48" s="150">
        <f>8.34+8.58+8.5+9.52+0.8</f>
        <v>35.74</v>
      </c>
      <c r="G48" s="151">
        <f>27.53*1.25</f>
        <v>34.409999999999997</v>
      </c>
      <c r="H48" s="180">
        <f>F48*G48</f>
        <v>1229.81</v>
      </c>
      <c r="I48" s="134"/>
    </row>
    <row r="49" spans="1:16" s="126" customFormat="1" x14ac:dyDescent="0.2">
      <c r="A49" s="166" t="s">
        <v>90</v>
      </c>
      <c r="B49" s="166"/>
      <c r="C49" s="166"/>
      <c r="D49" s="167" t="s">
        <v>277</v>
      </c>
      <c r="E49" s="172"/>
      <c r="F49" s="173"/>
      <c r="G49" s="172" t="s">
        <v>233</v>
      </c>
      <c r="H49" s="181">
        <f>H50+H51+H52+H53+H54+H55+H56</f>
        <v>834.95</v>
      </c>
      <c r="I49" s="134"/>
    </row>
    <row r="50" spans="1:16" s="126" customFormat="1" ht="25.5" x14ac:dyDescent="0.2">
      <c r="A50" s="147" t="s">
        <v>92</v>
      </c>
      <c r="B50" s="147" t="s">
        <v>279</v>
      </c>
      <c r="C50" s="147" t="s">
        <v>244</v>
      </c>
      <c r="D50" s="163" t="s">
        <v>278</v>
      </c>
      <c r="E50" s="158" t="s">
        <v>67</v>
      </c>
      <c r="F50" s="159">
        <v>5</v>
      </c>
      <c r="G50" s="151">
        <f>42.8*1.25</f>
        <v>53.5</v>
      </c>
      <c r="H50" s="180">
        <f t="shared" ref="H50:H56" si="5">F50*G50</f>
        <v>267.5</v>
      </c>
      <c r="I50" s="134">
        <f t="shared" ref="I50:I67" si="6">H50*10</f>
        <v>2675</v>
      </c>
    </row>
    <row r="51" spans="1:16" s="126" customFormat="1" ht="43.5" customHeight="1" x14ac:dyDescent="0.2">
      <c r="A51" s="147" t="s">
        <v>93</v>
      </c>
      <c r="B51" s="147">
        <v>83540</v>
      </c>
      <c r="C51" s="147" t="s">
        <v>244</v>
      </c>
      <c r="D51" s="163" t="s">
        <v>280</v>
      </c>
      <c r="E51" s="158" t="s">
        <v>67</v>
      </c>
      <c r="F51" s="159">
        <v>5</v>
      </c>
      <c r="G51" s="151">
        <f>12.06*1.25</f>
        <v>15.08</v>
      </c>
      <c r="H51" s="180">
        <f t="shared" si="5"/>
        <v>75.400000000000006</v>
      </c>
      <c r="I51" s="134">
        <f t="shared" si="6"/>
        <v>754</v>
      </c>
    </row>
    <row r="52" spans="1:16" s="126" customFormat="1" ht="69.75" customHeight="1" x14ac:dyDescent="0.2">
      <c r="A52" s="147" t="s">
        <v>94</v>
      </c>
      <c r="B52" s="147">
        <v>83466</v>
      </c>
      <c r="C52" s="147" t="s">
        <v>244</v>
      </c>
      <c r="D52" s="163" t="s">
        <v>287</v>
      </c>
      <c r="E52" s="158" t="s">
        <v>67</v>
      </c>
      <c r="F52" s="159">
        <v>4</v>
      </c>
      <c r="G52" s="151">
        <f>21.93*1.25</f>
        <v>27.41</v>
      </c>
      <c r="H52" s="180">
        <f t="shared" si="5"/>
        <v>109.64</v>
      </c>
      <c r="I52" s="134"/>
    </row>
    <row r="53" spans="1:16" s="126" customFormat="1" ht="69.75" customHeight="1" x14ac:dyDescent="0.2">
      <c r="A53" s="147" t="s">
        <v>95</v>
      </c>
      <c r="B53" s="147">
        <v>72331</v>
      </c>
      <c r="C53" s="147" t="s">
        <v>244</v>
      </c>
      <c r="D53" s="163" t="s">
        <v>288</v>
      </c>
      <c r="E53" s="158" t="s">
        <v>67</v>
      </c>
      <c r="F53" s="159">
        <v>1</v>
      </c>
      <c r="G53" s="151">
        <f>9.8*1.25</f>
        <v>12.25</v>
      </c>
      <c r="H53" s="180">
        <f t="shared" si="5"/>
        <v>12.25</v>
      </c>
      <c r="I53" s="134"/>
    </row>
    <row r="54" spans="1:16" s="126" customFormat="1" ht="38.25" x14ac:dyDescent="0.2">
      <c r="A54" s="147" t="s">
        <v>96</v>
      </c>
      <c r="B54" s="147" t="s">
        <v>283</v>
      </c>
      <c r="C54" s="147" t="s">
        <v>244</v>
      </c>
      <c r="D54" s="163" t="s">
        <v>282</v>
      </c>
      <c r="E54" s="158" t="s">
        <v>67</v>
      </c>
      <c r="F54" s="159">
        <v>1</v>
      </c>
      <c r="G54" s="151">
        <f>11.52*1.25</f>
        <v>14.4</v>
      </c>
      <c r="H54" s="180">
        <f t="shared" si="5"/>
        <v>14.4</v>
      </c>
      <c r="I54" s="134">
        <f t="shared" si="6"/>
        <v>144</v>
      </c>
    </row>
    <row r="55" spans="1:16" s="126" customFormat="1" ht="38.25" x14ac:dyDescent="0.2">
      <c r="A55" s="147" t="s">
        <v>97</v>
      </c>
      <c r="B55" s="147" t="s">
        <v>284</v>
      </c>
      <c r="C55" s="147" t="s">
        <v>244</v>
      </c>
      <c r="D55" s="155" t="s">
        <v>281</v>
      </c>
      <c r="E55" s="156" t="s">
        <v>67</v>
      </c>
      <c r="F55" s="150">
        <v>1</v>
      </c>
      <c r="G55" s="151">
        <f>54.31*1.25</f>
        <v>67.89</v>
      </c>
      <c r="H55" s="180">
        <f t="shared" si="5"/>
        <v>67.89</v>
      </c>
      <c r="I55" s="134">
        <f t="shared" si="6"/>
        <v>678.9</v>
      </c>
    </row>
    <row r="56" spans="1:16" ht="25.5" x14ac:dyDescent="0.2">
      <c r="A56" s="147" t="s">
        <v>98</v>
      </c>
      <c r="B56" s="147">
        <v>150306</v>
      </c>
      <c r="C56" s="147" t="s">
        <v>239</v>
      </c>
      <c r="D56" s="155" t="s">
        <v>285</v>
      </c>
      <c r="E56" s="156" t="s">
        <v>67</v>
      </c>
      <c r="F56" s="150">
        <v>1</v>
      </c>
      <c r="G56" s="151">
        <f>P56</f>
        <v>287.87</v>
      </c>
      <c r="H56" s="180">
        <f t="shared" si="5"/>
        <v>287.87</v>
      </c>
      <c r="I56" s="134">
        <f t="shared" si="6"/>
        <v>2878.7</v>
      </c>
      <c r="L56" s="196">
        <v>0.28000000000000003</v>
      </c>
      <c r="M56">
        <v>319.85000000000002</v>
      </c>
      <c r="N56">
        <f>L56*M56</f>
        <v>89.558000000000007</v>
      </c>
      <c r="O56">
        <f>M56-N56</f>
        <v>230.292</v>
      </c>
      <c r="P56">
        <f>O56*1.25</f>
        <v>287.86500000000001</v>
      </c>
    </row>
    <row r="57" spans="1:16" x14ac:dyDescent="0.2">
      <c r="A57" s="166" t="s">
        <v>105</v>
      </c>
      <c r="B57" s="166"/>
      <c r="C57" s="166"/>
      <c r="D57" s="167" t="s">
        <v>106</v>
      </c>
      <c r="E57" s="172"/>
      <c r="F57" s="173"/>
      <c r="G57" s="172" t="s">
        <v>233</v>
      </c>
      <c r="H57" s="181">
        <f>H58+H59+H60+H61</f>
        <v>1932.25</v>
      </c>
      <c r="I57" s="134"/>
    </row>
    <row r="58" spans="1:16" ht="38.25" x14ac:dyDescent="0.2">
      <c r="A58" s="147" t="s">
        <v>108</v>
      </c>
      <c r="B58" s="147">
        <v>151801</v>
      </c>
      <c r="C58" s="147" t="s">
        <v>239</v>
      </c>
      <c r="D58" s="164" t="s">
        <v>223</v>
      </c>
      <c r="E58" s="149" t="s">
        <v>67</v>
      </c>
      <c r="F58" s="150">
        <v>5</v>
      </c>
      <c r="G58" s="151">
        <f>P58</f>
        <v>126.39</v>
      </c>
      <c r="H58" s="180">
        <f>F58*G58</f>
        <v>631.95000000000005</v>
      </c>
      <c r="I58" s="134">
        <f t="shared" si="6"/>
        <v>6319.5</v>
      </c>
      <c r="K58" s="80">
        <v>6.48</v>
      </c>
      <c r="L58" s="196">
        <v>0.28000000000000003</v>
      </c>
      <c r="M58">
        <v>140.43</v>
      </c>
      <c r="N58">
        <f>L58*M58</f>
        <v>39.320399999999999</v>
      </c>
      <c r="O58">
        <f>M58-N58</f>
        <v>101.1096</v>
      </c>
      <c r="P58">
        <f>O58*1.25</f>
        <v>126.387</v>
      </c>
    </row>
    <row r="59" spans="1:16" ht="38.25" x14ac:dyDescent="0.2">
      <c r="A59" s="147" t="s">
        <v>109</v>
      </c>
      <c r="B59" s="147">
        <v>151803</v>
      </c>
      <c r="C59" s="147" t="s">
        <v>239</v>
      </c>
      <c r="D59" s="164" t="s">
        <v>289</v>
      </c>
      <c r="E59" s="149" t="s">
        <v>67</v>
      </c>
      <c r="F59" s="150">
        <f>F51</f>
        <v>5</v>
      </c>
      <c r="G59" s="151">
        <f>P59</f>
        <v>129.29</v>
      </c>
      <c r="H59" s="180">
        <f>F59*G59</f>
        <v>646.45000000000005</v>
      </c>
      <c r="I59" s="134">
        <f t="shared" si="6"/>
        <v>6464.5</v>
      </c>
      <c r="K59" s="80">
        <v>10.17</v>
      </c>
      <c r="L59" s="196">
        <v>0.28000000000000003</v>
      </c>
      <c r="M59">
        <v>143.66</v>
      </c>
      <c r="N59">
        <f>L59*M59</f>
        <v>40.224800000000002</v>
      </c>
      <c r="O59">
        <f>M59-N59</f>
        <v>103.43519999999999</v>
      </c>
      <c r="P59">
        <f>O59*1.25</f>
        <v>129.29400000000001</v>
      </c>
    </row>
    <row r="60" spans="1:16" ht="38.25" x14ac:dyDescent="0.2">
      <c r="A60" s="147" t="s">
        <v>206</v>
      </c>
      <c r="B60" s="147">
        <v>151809</v>
      </c>
      <c r="C60" s="147" t="s">
        <v>239</v>
      </c>
      <c r="D60" s="164" t="s">
        <v>226</v>
      </c>
      <c r="E60" s="149" t="s">
        <v>67</v>
      </c>
      <c r="F60" s="150">
        <v>1</v>
      </c>
      <c r="G60" s="151">
        <f>P60</f>
        <v>113.41</v>
      </c>
      <c r="H60" s="180">
        <f>F60*G60</f>
        <v>113.41</v>
      </c>
      <c r="I60" s="134">
        <f t="shared" si="6"/>
        <v>1134.0999999999999</v>
      </c>
      <c r="K60" s="80"/>
      <c r="L60" s="196">
        <v>0.28000000000000003</v>
      </c>
      <c r="M60">
        <v>126.01</v>
      </c>
      <c r="N60">
        <f>L60*M60</f>
        <v>35.282800000000002</v>
      </c>
      <c r="O60">
        <f>M60-N60</f>
        <v>90.727199999999996</v>
      </c>
      <c r="P60">
        <f>O60*1.25</f>
        <v>113.40900000000001</v>
      </c>
    </row>
    <row r="61" spans="1:16" ht="51" x14ac:dyDescent="0.2">
      <c r="A61" s="147" t="s">
        <v>207</v>
      </c>
      <c r="B61" s="147">
        <v>151811</v>
      </c>
      <c r="C61" s="147" t="s">
        <v>239</v>
      </c>
      <c r="D61" s="164" t="s">
        <v>290</v>
      </c>
      <c r="E61" s="149" t="s">
        <v>67</v>
      </c>
      <c r="F61" s="150">
        <v>4</v>
      </c>
      <c r="G61" s="151">
        <f>P61</f>
        <v>135.11000000000001</v>
      </c>
      <c r="H61" s="180">
        <f>F61*G61</f>
        <v>540.44000000000005</v>
      </c>
      <c r="I61" s="134">
        <f t="shared" si="6"/>
        <v>5404.4</v>
      </c>
      <c r="K61" s="80">
        <v>1.4</v>
      </c>
      <c r="L61" s="196">
        <v>0.28000000000000003</v>
      </c>
      <c r="M61">
        <v>150.12</v>
      </c>
      <c r="N61">
        <f>L61*M61</f>
        <v>42.0336</v>
      </c>
      <c r="O61">
        <f>M61-N61</f>
        <v>108.0864</v>
      </c>
      <c r="P61">
        <f>O61*1.25</f>
        <v>135.108</v>
      </c>
    </row>
    <row r="62" spans="1:16" x14ac:dyDescent="0.2">
      <c r="A62" s="166" t="s">
        <v>111</v>
      </c>
      <c r="B62" s="166"/>
      <c r="C62" s="166"/>
      <c r="D62" s="167" t="s">
        <v>112</v>
      </c>
      <c r="E62" s="172"/>
      <c r="F62" s="173"/>
      <c r="G62" s="172" t="s">
        <v>233</v>
      </c>
      <c r="H62" s="181">
        <f>H63+H64</f>
        <v>4041.29</v>
      </c>
      <c r="I62" s="134"/>
    </row>
    <row r="63" spans="1:16" ht="38.25" x14ac:dyDescent="0.2">
      <c r="A63" s="147" t="s">
        <v>113</v>
      </c>
      <c r="B63" s="147">
        <v>190106</v>
      </c>
      <c r="C63" s="147" t="s">
        <v>239</v>
      </c>
      <c r="D63" s="148" t="s">
        <v>368</v>
      </c>
      <c r="E63" s="149" t="s">
        <v>114</v>
      </c>
      <c r="F63" s="150">
        <f>F28</f>
        <v>209.52</v>
      </c>
      <c r="G63" s="151">
        <f>P63</f>
        <v>17.690000000000001</v>
      </c>
      <c r="H63" s="180">
        <f>F63*G63</f>
        <v>3706.41</v>
      </c>
      <c r="I63" s="134">
        <f t="shared" si="6"/>
        <v>37064.1</v>
      </c>
      <c r="K63" s="80">
        <v>5.37</v>
      </c>
      <c r="L63" s="196">
        <v>0.28000000000000003</v>
      </c>
      <c r="M63">
        <v>19.66</v>
      </c>
      <c r="N63">
        <f>L63*M63</f>
        <v>5.5048000000000004</v>
      </c>
      <c r="O63">
        <f>M63-N63</f>
        <v>14.155200000000001</v>
      </c>
      <c r="P63">
        <f>O63*1.25</f>
        <v>17.693999999999999</v>
      </c>
    </row>
    <row r="64" spans="1:16" ht="25.5" x14ac:dyDescent="0.2">
      <c r="A64" s="147" t="s">
        <v>309</v>
      </c>
      <c r="B64" s="147">
        <v>190302</v>
      </c>
      <c r="C64" s="147" t="s">
        <v>239</v>
      </c>
      <c r="D64" s="148" t="s">
        <v>248</v>
      </c>
      <c r="E64" s="149" t="s">
        <v>114</v>
      </c>
      <c r="F64" s="150">
        <f>0.8*2.1*2*4+2.1*0.15*2*4+0.15*0.8*2*4+2.1*0.05*4*4+0.8*0.05*2*4</f>
        <v>18.920000000000002</v>
      </c>
      <c r="G64" s="151">
        <f>P64</f>
        <v>17.7</v>
      </c>
      <c r="H64" s="180">
        <f>F64*G64</f>
        <v>334.88</v>
      </c>
      <c r="I64" s="134">
        <f t="shared" si="6"/>
        <v>3348.8</v>
      </c>
      <c r="K64" s="80">
        <v>7.17</v>
      </c>
      <c r="L64" s="196">
        <v>0.28000000000000003</v>
      </c>
      <c r="M64">
        <v>19.670000000000002</v>
      </c>
      <c r="N64">
        <f>L64*M64</f>
        <v>5.5076000000000001</v>
      </c>
      <c r="O64">
        <f>M64-N64</f>
        <v>14.1624</v>
      </c>
      <c r="P64">
        <f>O64*1.25</f>
        <v>17.702999999999999</v>
      </c>
    </row>
    <row r="65" spans="1:16" s="73" customFormat="1" x14ac:dyDescent="0.2">
      <c r="A65" s="147"/>
      <c r="B65" s="147"/>
      <c r="C65" s="147"/>
      <c r="D65" s="157"/>
      <c r="E65" s="147"/>
      <c r="F65" s="150"/>
      <c r="G65" s="151"/>
      <c r="H65" s="151"/>
      <c r="I65" s="134"/>
    </row>
    <row r="66" spans="1:16" x14ac:dyDescent="0.2">
      <c r="A66" s="166" t="s">
        <v>203</v>
      </c>
      <c r="B66" s="166"/>
      <c r="C66" s="166"/>
      <c r="D66" s="167" t="s">
        <v>115</v>
      </c>
      <c r="E66" s="172"/>
      <c r="F66" s="173"/>
      <c r="G66" s="172" t="s">
        <v>233</v>
      </c>
      <c r="H66" s="181">
        <f>SUM(H67)</f>
        <v>301.45</v>
      </c>
      <c r="I66" s="134"/>
    </row>
    <row r="67" spans="1:16" x14ac:dyDescent="0.2">
      <c r="A67" s="147" t="s">
        <v>208</v>
      </c>
      <c r="B67" s="147">
        <v>200401</v>
      </c>
      <c r="C67" s="147" t="s">
        <v>239</v>
      </c>
      <c r="D67" s="148" t="s">
        <v>116</v>
      </c>
      <c r="E67" s="149" t="s">
        <v>114</v>
      </c>
      <c r="F67" s="150">
        <v>39.200000000000003</v>
      </c>
      <c r="G67" s="151">
        <f>P67</f>
        <v>7.69</v>
      </c>
      <c r="H67" s="180">
        <f>F67*G67</f>
        <v>301.45</v>
      </c>
      <c r="I67" s="134">
        <f t="shared" si="6"/>
        <v>3014.5</v>
      </c>
      <c r="K67" s="80">
        <v>2.2200000000000002</v>
      </c>
      <c r="L67" s="196">
        <v>0.28000000000000003</v>
      </c>
      <c r="M67">
        <v>8.5399999999999991</v>
      </c>
      <c r="N67">
        <f>L67*M67</f>
        <v>2.3912</v>
      </c>
      <c r="O67">
        <f>M67-N67</f>
        <v>6.1487999999999996</v>
      </c>
      <c r="P67">
        <f>O67*1.25</f>
        <v>7.6859999999999999</v>
      </c>
    </row>
    <row r="68" spans="1:16" s="73" customFormat="1" ht="13.5" thickBot="1" x14ac:dyDescent="0.25">
      <c r="A68" s="147"/>
      <c r="B68" s="147"/>
      <c r="C68" s="147"/>
      <c r="D68" s="157"/>
      <c r="E68" s="147"/>
      <c r="F68" s="150"/>
      <c r="G68" s="151"/>
      <c r="H68" s="151"/>
      <c r="I68" s="134"/>
    </row>
    <row r="69" spans="1:16" ht="13.5" thickBot="1" x14ac:dyDescent="0.25">
      <c r="A69" s="169"/>
      <c r="B69" s="169"/>
      <c r="C69" s="169"/>
      <c r="D69" s="170" t="s">
        <v>369</v>
      </c>
      <c r="E69" s="171"/>
      <c r="F69" s="171"/>
      <c r="G69" s="168"/>
      <c r="H69" s="182">
        <f>H66+H62+H57+H49+H44+H41+H31+H25+H14+H11</f>
        <v>46866.07</v>
      </c>
      <c r="I69" s="135"/>
      <c r="L69" s="237"/>
    </row>
    <row r="70" spans="1:16" x14ac:dyDescent="0.2">
      <c r="A70" s="145"/>
      <c r="B70" s="145"/>
      <c r="C70" s="145"/>
      <c r="D70" s="170" t="s">
        <v>374</v>
      </c>
      <c r="E70" s="146"/>
      <c r="F70" s="146"/>
      <c r="G70" s="153"/>
      <c r="H70" s="182">
        <f>H69*2</f>
        <v>93732.14</v>
      </c>
      <c r="I70" s="142"/>
    </row>
    <row r="71" spans="1:16" x14ac:dyDescent="0.2">
      <c r="A71" s="21"/>
      <c r="B71" s="21"/>
      <c r="C71" s="21"/>
      <c r="D71" s="22"/>
      <c r="E71" s="21"/>
      <c r="F71" s="21"/>
      <c r="G71" s="21"/>
      <c r="H71" s="21"/>
      <c r="I71" s="23"/>
    </row>
    <row r="72" spans="1:16" x14ac:dyDescent="0.2">
      <c r="A72" s="21"/>
      <c r="B72" s="21"/>
      <c r="C72" s="21"/>
      <c r="D72" s="21"/>
      <c r="E72" s="21"/>
      <c r="F72" s="21"/>
      <c r="G72" s="21"/>
      <c r="H72" s="21"/>
      <c r="I72" s="23"/>
    </row>
    <row r="73" spans="1:16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16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16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16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16" x14ac:dyDescent="0.2">
      <c r="A77" s="21"/>
      <c r="B77" s="21"/>
      <c r="C77" s="21"/>
      <c r="D77" s="238"/>
      <c r="E77" s="21"/>
      <c r="F77" s="21"/>
      <c r="G77" s="21"/>
      <c r="H77" s="21"/>
      <c r="I77" s="21"/>
    </row>
    <row r="78" spans="1:16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16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16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</sheetData>
  <mergeCells count="13">
    <mergeCell ref="I8:I9"/>
    <mergeCell ref="G31:G32"/>
    <mergeCell ref="H31:H32"/>
    <mergeCell ref="A1:H2"/>
    <mergeCell ref="A3:H3"/>
    <mergeCell ref="A4:H4"/>
    <mergeCell ref="A5:H5"/>
    <mergeCell ref="A8:A9"/>
    <mergeCell ref="B8:B9"/>
    <mergeCell ref="C8:C9"/>
    <mergeCell ref="D8:D9"/>
    <mergeCell ref="E8:E9"/>
    <mergeCell ref="F8:F9"/>
  </mergeCells>
  <printOptions horizontalCentered="1"/>
  <pageMargins left="0.65" right="0.59055118110236227" top="1.84" bottom="0.59055118110236227" header="0.47244094488188981" footer="0.31496062992125984"/>
  <pageSetup paperSize="9" scale="64" orientation="portrait" horizontalDpi="4294967295" verticalDpi="300" r:id="rId1"/>
  <headerFooter alignWithMargins="0">
    <oddFooter>&amp;L&amp;8   &amp;C&amp;8&amp;P/&amp;N&amp;R   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87"/>
  <sheetViews>
    <sheetView tabSelected="1" view="pageBreakPreview" zoomScaleSheetLayoutView="100" workbookViewId="0">
      <pane ySplit="7" topLeftCell="A377" activePane="bottomLeft" state="frozen"/>
      <selection activeCell="B1" sqref="B1"/>
      <selection pane="bottomLeft" activeCell="F367" sqref="F367:F373"/>
    </sheetView>
  </sheetViews>
  <sheetFormatPr defaultRowHeight="12.75" x14ac:dyDescent="0.2"/>
  <cols>
    <col min="1" max="1" width="7.140625" style="239" bestFit="1" customWidth="1"/>
    <col min="2" max="2" width="12.42578125" style="239" customWidth="1"/>
    <col min="3" max="3" width="15.5703125" style="239" bestFit="1" customWidth="1"/>
    <col min="4" max="4" width="60.7109375" style="239" customWidth="1"/>
    <col min="5" max="5" width="6.85546875" style="239" customWidth="1"/>
    <col min="6" max="6" width="10.28515625" style="239" customWidth="1"/>
    <col min="7" max="7" width="12.7109375" customWidth="1"/>
    <col min="8" max="8" width="12.85546875" customWidth="1"/>
    <col min="9" max="9" width="18.85546875" customWidth="1"/>
  </cols>
  <sheetData>
    <row r="1" spans="1:15" ht="90.75" customHeight="1" x14ac:dyDescent="0.2">
      <c r="A1" s="384"/>
      <c r="B1" s="385"/>
      <c r="C1" s="385"/>
      <c r="D1" s="385"/>
      <c r="E1" s="385"/>
      <c r="F1" s="385"/>
      <c r="G1" s="385"/>
      <c r="H1" s="385"/>
      <c r="I1" s="386"/>
    </row>
    <row r="2" spans="1:15" ht="12.75" customHeight="1" x14ac:dyDescent="0.2">
      <c r="A2" s="591" t="s">
        <v>597</v>
      </c>
      <c r="B2" s="592"/>
      <c r="C2" s="592"/>
      <c r="D2" s="592"/>
      <c r="E2" s="592"/>
      <c r="F2" s="593"/>
      <c r="G2" s="582" t="s">
        <v>413</v>
      </c>
      <c r="H2" s="582"/>
      <c r="I2" s="322">
        <v>0.3196</v>
      </c>
    </row>
    <row r="3" spans="1:15" ht="12.75" customHeight="1" x14ac:dyDescent="0.2">
      <c r="A3" s="579" t="s">
        <v>906</v>
      </c>
      <c r="B3" s="580"/>
      <c r="C3" s="580"/>
      <c r="D3" s="580"/>
      <c r="E3" s="580"/>
      <c r="F3" s="581"/>
      <c r="G3" s="582" t="s">
        <v>598</v>
      </c>
      <c r="H3" s="582"/>
      <c r="I3" s="265" t="s">
        <v>990</v>
      </c>
    </row>
    <row r="4" spans="1:15" x14ac:dyDescent="0.2">
      <c r="A4" s="377" t="s">
        <v>747</v>
      </c>
      <c r="B4" s="378"/>
      <c r="C4" s="378"/>
      <c r="D4" s="378"/>
      <c r="E4" s="378"/>
      <c r="F4" s="379"/>
      <c r="G4" s="573" t="s">
        <v>599</v>
      </c>
      <c r="H4" s="575"/>
      <c r="I4" s="506" t="s">
        <v>1001</v>
      </c>
    </row>
    <row r="5" spans="1:15" x14ac:dyDescent="0.2">
      <c r="A5" s="377" t="s">
        <v>910</v>
      </c>
      <c r="B5" s="378"/>
      <c r="C5" s="378"/>
      <c r="D5" s="378"/>
      <c r="E5" s="378"/>
      <c r="F5" s="573" t="s">
        <v>911</v>
      </c>
      <c r="G5" s="574"/>
      <c r="H5" s="575"/>
      <c r="I5" s="469">
        <v>44547</v>
      </c>
    </row>
    <row r="6" spans="1:15" s="240" customFormat="1" ht="6" customHeight="1" x14ac:dyDescent="0.2">
      <c r="A6" s="377"/>
      <c r="B6" s="378"/>
      <c r="C6" s="378"/>
      <c r="D6" s="378"/>
      <c r="E6" s="378"/>
      <c r="F6" s="378"/>
      <c r="G6" s="378"/>
      <c r="H6" s="378"/>
      <c r="I6" s="387"/>
      <c r="L6"/>
      <c r="M6"/>
      <c r="N6"/>
      <c r="O6"/>
    </row>
    <row r="7" spans="1:15" s="242" customFormat="1" ht="39" customHeight="1" x14ac:dyDescent="0.2">
      <c r="A7" s="257" t="s">
        <v>5</v>
      </c>
      <c r="B7" s="257" t="s">
        <v>394</v>
      </c>
      <c r="C7" s="257" t="s">
        <v>592</v>
      </c>
      <c r="D7" s="258" t="s">
        <v>6</v>
      </c>
      <c r="E7" s="256" t="s">
        <v>7</v>
      </c>
      <c r="F7" s="256" t="s">
        <v>593</v>
      </c>
      <c r="G7" s="256" t="s">
        <v>594</v>
      </c>
      <c r="H7" s="256" t="s">
        <v>595</v>
      </c>
      <c r="I7" s="256" t="s">
        <v>596</v>
      </c>
    </row>
    <row r="8" spans="1:15" s="242" customFormat="1" ht="6.75" customHeight="1" x14ac:dyDescent="0.2">
      <c r="A8" s="388"/>
      <c r="B8" s="389"/>
      <c r="C8" s="389"/>
      <c r="D8" s="390"/>
      <c r="E8" s="391"/>
      <c r="F8" s="391"/>
      <c r="G8" s="391"/>
      <c r="H8" s="391"/>
      <c r="I8" s="392"/>
    </row>
    <row r="9" spans="1:15" s="241" customFormat="1" ht="20.100000000000001" customHeight="1" x14ac:dyDescent="0.2">
      <c r="A9" s="584" t="s">
        <v>486</v>
      </c>
      <c r="B9" s="585"/>
      <c r="C9" s="585"/>
      <c r="D9" s="585"/>
      <c r="E9" s="585"/>
      <c r="F9" s="585"/>
      <c r="G9" s="585"/>
      <c r="H9" s="585"/>
      <c r="I9" s="586"/>
      <c r="K9" s="242"/>
      <c r="L9" s="242"/>
      <c r="M9" s="242"/>
      <c r="N9" s="242"/>
      <c r="O9" s="242"/>
    </row>
    <row r="10" spans="1:15" s="260" customFormat="1" ht="14.25" customHeight="1" x14ac:dyDescent="0.2">
      <c r="A10" s="393" t="s">
        <v>23</v>
      </c>
      <c r="B10" s="394"/>
      <c r="C10" s="394"/>
      <c r="D10" s="395" t="s">
        <v>572</v>
      </c>
      <c r="E10" s="396"/>
      <c r="F10" s="396"/>
      <c r="G10" s="393"/>
      <c r="H10" s="393"/>
      <c r="I10" s="397"/>
      <c r="K10" s="242"/>
      <c r="L10" s="242"/>
      <c r="M10" s="242"/>
      <c r="N10" s="242"/>
      <c r="O10" s="242"/>
    </row>
    <row r="11" spans="1:15" s="129" customFormat="1" ht="25.5" x14ac:dyDescent="0.2">
      <c r="A11" s="398" t="s">
        <v>15</v>
      </c>
      <c r="B11" s="505" t="s">
        <v>414</v>
      </c>
      <c r="C11" s="400" t="s">
        <v>644</v>
      </c>
      <c r="D11" s="401" t="s">
        <v>485</v>
      </c>
      <c r="E11" s="402" t="s">
        <v>114</v>
      </c>
      <c r="F11" s="402">
        <v>8</v>
      </c>
      <c r="G11" s="403"/>
      <c r="H11" s="403">
        <f>G11*(1+$I$2)</f>
        <v>0</v>
      </c>
      <c r="I11" s="405">
        <f t="shared" ref="I11:I17" si="0">ROUND(F11*H11,2)</f>
        <v>0</v>
      </c>
      <c r="K11" s="126"/>
      <c r="L11" s="126"/>
      <c r="M11" s="126"/>
      <c r="N11" s="126"/>
      <c r="O11" s="126"/>
    </row>
    <row r="12" spans="1:15" s="129" customFormat="1" ht="54.95" customHeight="1" x14ac:dyDescent="0.2">
      <c r="A12" s="398" t="s">
        <v>204</v>
      </c>
      <c r="B12" s="505" t="s">
        <v>396</v>
      </c>
      <c r="C12" s="400" t="s">
        <v>644</v>
      </c>
      <c r="D12" s="401" t="s">
        <v>388</v>
      </c>
      <c r="E12" s="402" t="s">
        <v>114</v>
      </c>
      <c r="F12" s="402">
        <v>10.9</v>
      </c>
      <c r="G12" s="403"/>
      <c r="H12" s="403">
        <f t="shared" ref="H12:H17" si="1">G12*(1+$I$2)</f>
        <v>0</v>
      </c>
      <c r="I12" s="405">
        <f t="shared" si="0"/>
        <v>0</v>
      </c>
      <c r="K12" s="126"/>
      <c r="L12" s="126"/>
      <c r="M12" s="126"/>
      <c r="N12" s="126"/>
      <c r="O12" s="126"/>
    </row>
    <row r="13" spans="1:15" s="129" customFormat="1" ht="54" customHeight="1" x14ac:dyDescent="0.2">
      <c r="A13" s="398" t="s">
        <v>380</v>
      </c>
      <c r="B13" s="505" t="s">
        <v>513</v>
      </c>
      <c r="C13" s="400" t="s">
        <v>644</v>
      </c>
      <c r="D13" s="401" t="s">
        <v>514</v>
      </c>
      <c r="E13" s="402" t="s">
        <v>114</v>
      </c>
      <c r="F13" s="402">
        <v>12</v>
      </c>
      <c r="G13" s="403"/>
      <c r="H13" s="403">
        <f t="shared" si="1"/>
        <v>0</v>
      </c>
      <c r="I13" s="405">
        <f t="shared" si="0"/>
        <v>0</v>
      </c>
      <c r="K13" s="126"/>
      <c r="L13" s="126"/>
      <c r="M13" s="126"/>
      <c r="N13" s="126"/>
      <c r="O13" s="126"/>
    </row>
    <row r="14" spans="1:15" s="129" customFormat="1" ht="54.95" customHeight="1" x14ac:dyDescent="0.2">
      <c r="A14" s="398" t="s">
        <v>495</v>
      </c>
      <c r="B14" s="505" t="s">
        <v>515</v>
      </c>
      <c r="C14" s="400" t="s">
        <v>644</v>
      </c>
      <c r="D14" s="401" t="s">
        <v>516</v>
      </c>
      <c r="E14" s="400" t="s">
        <v>410</v>
      </c>
      <c r="F14" s="402">
        <v>1</v>
      </c>
      <c r="G14" s="403"/>
      <c r="H14" s="403">
        <f t="shared" si="1"/>
        <v>0</v>
      </c>
      <c r="I14" s="405">
        <f t="shared" si="0"/>
        <v>0</v>
      </c>
      <c r="K14" s="126"/>
      <c r="L14" s="126"/>
      <c r="M14" s="126"/>
      <c r="N14" s="126"/>
      <c r="O14" s="126"/>
    </row>
    <row r="15" spans="1:15" s="129" customFormat="1" ht="43.5" customHeight="1" x14ac:dyDescent="0.2">
      <c r="A15" s="398" t="s">
        <v>510</v>
      </c>
      <c r="B15" s="505" t="s">
        <v>517</v>
      </c>
      <c r="C15" s="400" t="s">
        <v>644</v>
      </c>
      <c r="D15" s="401" t="s">
        <v>518</v>
      </c>
      <c r="E15" s="402" t="s">
        <v>27</v>
      </c>
      <c r="F15" s="402">
        <v>5</v>
      </c>
      <c r="G15" s="403"/>
      <c r="H15" s="403">
        <f t="shared" si="1"/>
        <v>0</v>
      </c>
      <c r="I15" s="405">
        <f t="shared" si="0"/>
        <v>0</v>
      </c>
      <c r="K15" s="126"/>
      <c r="L15" s="126"/>
      <c r="M15" s="126"/>
      <c r="N15" s="126"/>
      <c r="O15" s="126"/>
    </row>
    <row r="16" spans="1:15" s="129" customFormat="1" ht="54.95" customHeight="1" x14ac:dyDescent="0.2">
      <c r="A16" s="398" t="s">
        <v>511</v>
      </c>
      <c r="B16" s="505" t="s">
        <v>497</v>
      </c>
      <c r="C16" s="400" t="s">
        <v>644</v>
      </c>
      <c r="D16" s="401" t="s">
        <v>496</v>
      </c>
      <c r="E16" s="402" t="s">
        <v>27</v>
      </c>
      <c r="F16" s="402">
        <v>5</v>
      </c>
      <c r="G16" s="403"/>
      <c r="H16" s="403">
        <f t="shared" si="1"/>
        <v>0</v>
      </c>
      <c r="I16" s="405">
        <f t="shared" si="0"/>
        <v>0</v>
      </c>
      <c r="K16" s="126"/>
      <c r="L16" s="126"/>
      <c r="M16" s="126"/>
      <c r="N16" s="126"/>
      <c r="O16" s="126"/>
    </row>
    <row r="17" spans="1:15" s="129" customFormat="1" ht="54.95" customHeight="1" x14ac:dyDescent="0.2">
      <c r="A17" s="398" t="s">
        <v>512</v>
      </c>
      <c r="B17" s="505" t="s">
        <v>492</v>
      </c>
      <c r="C17" s="400" t="s">
        <v>644</v>
      </c>
      <c r="D17" s="401" t="s">
        <v>491</v>
      </c>
      <c r="E17" s="402" t="s">
        <v>27</v>
      </c>
      <c r="F17" s="402">
        <v>7.7</v>
      </c>
      <c r="G17" s="403"/>
      <c r="H17" s="403">
        <f t="shared" si="1"/>
        <v>0</v>
      </c>
      <c r="I17" s="405">
        <f t="shared" si="0"/>
        <v>0</v>
      </c>
      <c r="K17" s="126"/>
      <c r="L17" s="126"/>
      <c r="M17" s="126"/>
      <c r="N17" s="126"/>
      <c r="O17" s="126"/>
    </row>
    <row r="18" spans="1:15" s="126" customFormat="1" ht="21.75" customHeight="1" x14ac:dyDescent="0.2">
      <c r="A18" s="583" t="s">
        <v>642</v>
      </c>
      <c r="B18" s="583"/>
      <c r="C18" s="583"/>
      <c r="D18" s="583"/>
      <c r="E18" s="583"/>
      <c r="F18" s="583"/>
      <c r="G18" s="583"/>
      <c r="H18" s="583"/>
      <c r="I18" s="406">
        <f>SUM(I11:I17)</f>
        <v>0</v>
      </c>
      <c r="K18" s="242"/>
      <c r="L18" s="242"/>
      <c r="M18" s="242"/>
      <c r="N18" s="242"/>
      <c r="O18" s="242"/>
    </row>
    <row r="19" spans="1:15" s="126" customFormat="1" ht="6" customHeight="1" x14ac:dyDescent="0.2">
      <c r="A19" s="407"/>
      <c r="B19" s="408"/>
      <c r="C19" s="408"/>
      <c r="D19" s="409"/>
      <c r="E19" s="408"/>
      <c r="F19" s="410"/>
      <c r="G19" s="411"/>
      <c r="H19" s="412"/>
      <c r="I19" s="413"/>
      <c r="K19" s="242"/>
      <c r="L19" s="242"/>
      <c r="M19" s="242"/>
      <c r="N19" s="242"/>
      <c r="O19" s="242"/>
    </row>
    <row r="20" spans="1:15" s="241" customFormat="1" ht="20.100000000000001" customHeight="1" x14ac:dyDescent="0.2">
      <c r="A20" s="584" t="s">
        <v>587</v>
      </c>
      <c r="B20" s="585"/>
      <c r="C20" s="585"/>
      <c r="D20" s="585"/>
      <c r="E20" s="585"/>
      <c r="F20" s="585"/>
      <c r="G20" s="585"/>
      <c r="H20" s="585"/>
      <c r="I20" s="586"/>
      <c r="K20" s="242"/>
      <c r="L20" s="242"/>
      <c r="M20" s="242"/>
      <c r="N20" s="242"/>
      <c r="O20" s="242"/>
    </row>
    <row r="21" spans="1:15" s="260" customFormat="1" ht="15.75" customHeight="1" x14ac:dyDescent="0.2">
      <c r="A21" s="393" t="s">
        <v>30</v>
      </c>
      <c r="B21" s="394"/>
      <c r="C21" s="394"/>
      <c r="D21" s="395" t="s">
        <v>477</v>
      </c>
      <c r="E21" s="396"/>
      <c r="F21" s="396"/>
      <c r="G21" s="393"/>
      <c r="H21" s="393"/>
      <c r="I21" s="397"/>
      <c r="K21" s="242"/>
      <c r="L21" s="242"/>
      <c r="M21" s="242"/>
      <c r="N21" s="242"/>
      <c r="O21" s="242"/>
    </row>
    <row r="22" spans="1:15" s="129" customFormat="1" ht="31.5" customHeight="1" x14ac:dyDescent="0.2">
      <c r="A22" s="398" t="s">
        <v>33</v>
      </c>
      <c r="B22" s="505" t="s">
        <v>395</v>
      </c>
      <c r="C22" s="400" t="s">
        <v>644</v>
      </c>
      <c r="D22" s="401" t="s">
        <v>387</v>
      </c>
      <c r="E22" s="400" t="s">
        <v>114</v>
      </c>
      <c r="F22" s="403">
        <v>43.98</v>
      </c>
      <c r="G22" s="403"/>
      <c r="H22" s="403">
        <f>G22*(1+$I$2)</f>
        <v>0</v>
      </c>
      <c r="I22" s="405">
        <f>ROUND(F22*H22,2)</f>
        <v>0</v>
      </c>
      <c r="K22" s="126"/>
      <c r="L22" s="126"/>
      <c r="M22" s="126"/>
      <c r="N22" s="126"/>
      <c r="O22" s="126"/>
    </row>
    <row r="23" spans="1:15" s="126" customFormat="1" ht="21.75" customHeight="1" x14ac:dyDescent="0.2">
      <c r="A23" s="583" t="s">
        <v>641</v>
      </c>
      <c r="B23" s="583"/>
      <c r="C23" s="583"/>
      <c r="D23" s="583"/>
      <c r="E23" s="583"/>
      <c r="F23" s="583"/>
      <c r="G23" s="583"/>
      <c r="H23" s="583"/>
      <c r="I23" s="406">
        <f>SUM(I22)</f>
        <v>0</v>
      </c>
      <c r="K23" s="242"/>
      <c r="L23" s="242"/>
      <c r="M23" s="242"/>
      <c r="N23" s="242"/>
      <c r="O23" s="242"/>
    </row>
    <row r="24" spans="1:15" s="126" customFormat="1" ht="6" customHeight="1" x14ac:dyDescent="0.2">
      <c r="A24" s="407"/>
      <c r="B24" s="408"/>
      <c r="C24" s="408"/>
      <c r="D24" s="409"/>
      <c r="E24" s="408"/>
      <c r="F24" s="410"/>
      <c r="G24" s="411"/>
      <c r="H24" s="412"/>
      <c r="I24" s="413"/>
      <c r="K24" s="242"/>
      <c r="L24" s="242"/>
      <c r="M24" s="242"/>
      <c r="N24" s="242"/>
      <c r="O24" s="242"/>
    </row>
    <row r="25" spans="1:15" s="260" customFormat="1" ht="18" customHeight="1" x14ac:dyDescent="0.2">
      <c r="A25" s="393" t="s">
        <v>51</v>
      </c>
      <c r="B25" s="394"/>
      <c r="C25" s="394"/>
      <c r="D25" s="395" t="s">
        <v>645</v>
      </c>
      <c r="E25" s="396"/>
      <c r="F25" s="396"/>
      <c r="G25" s="393"/>
      <c r="H25" s="393"/>
      <c r="I25" s="397"/>
      <c r="K25" s="242"/>
      <c r="L25" s="242"/>
      <c r="M25" s="242"/>
      <c r="N25" s="242"/>
      <c r="O25" s="242"/>
    </row>
    <row r="26" spans="1:15" s="266" customFormat="1" ht="15" x14ac:dyDescent="0.25">
      <c r="A26" s="415" t="s">
        <v>53</v>
      </c>
      <c r="B26" s="416"/>
      <c r="C26" s="417"/>
      <c r="D26" s="418" t="s">
        <v>646</v>
      </c>
      <c r="E26" s="419"/>
      <c r="F26" s="420"/>
      <c r="G26" s="420"/>
      <c r="H26" s="420"/>
      <c r="I26" s="421"/>
      <c r="K26" s="242"/>
      <c r="L26" s="242"/>
      <c r="M26" s="242"/>
      <c r="N26" s="242"/>
      <c r="O26" s="242"/>
    </row>
    <row r="27" spans="1:15" s="126" customFormat="1" ht="30" customHeight="1" x14ac:dyDescent="0.2">
      <c r="A27" s="422" t="s">
        <v>647</v>
      </c>
      <c r="B27" s="505" t="s">
        <v>397</v>
      </c>
      <c r="C27" s="400" t="s">
        <v>644</v>
      </c>
      <c r="D27" s="401" t="s">
        <v>212</v>
      </c>
      <c r="E27" s="400" t="s">
        <v>225</v>
      </c>
      <c r="F27" s="403">
        <v>4.47</v>
      </c>
      <c r="G27" s="403"/>
      <c r="H27" s="403">
        <f>G27*(1+$I$2)</f>
        <v>0</v>
      </c>
      <c r="I27" s="405">
        <f t="shared" ref="I27:I37" si="2">ROUND(F27*H27,2)</f>
        <v>0</v>
      </c>
    </row>
    <row r="28" spans="1:15" s="126" customFormat="1" ht="30" customHeight="1" x14ac:dyDescent="0.2">
      <c r="A28" s="422" t="s">
        <v>648</v>
      </c>
      <c r="B28" s="505" t="s">
        <v>500</v>
      </c>
      <c r="C28" s="398" t="s">
        <v>379</v>
      </c>
      <c r="D28" s="401" t="s">
        <v>650</v>
      </c>
      <c r="E28" s="400" t="s">
        <v>114</v>
      </c>
      <c r="F28" s="403">
        <v>16.579999999999998</v>
      </c>
      <c r="G28" s="403"/>
      <c r="H28" s="403">
        <f>G28*(1+$I$2)</f>
        <v>0</v>
      </c>
      <c r="I28" s="405">
        <f t="shared" ref="I28" si="3">ROUND(F28*H28,2)</f>
        <v>0</v>
      </c>
      <c r="J28" s="507"/>
    </row>
    <row r="29" spans="1:15" s="126" customFormat="1" ht="15" x14ac:dyDescent="0.2">
      <c r="A29" s="415" t="s">
        <v>54</v>
      </c>
      <c r="B29" s="416"/>
      <c r="C29" s="417"/>
      <c r="D29" s="418" t="s">
        <v>649</v>
      </c>
      <c r="E29" s="419"/>
      <c r="F29" s="420"/>
      <c r="G29" s="420"/>
      <c r="H29" s="420"/>
      <c r="I29" s="421"/>
      <c r="K29" s="242"/>
      <c r="L29" s="242"/>
      <c r="M29" s="242"/>
      <c r="N29" s="242"/>
      <c r="O29" s="242"/>
    </row>
    <row r="30" spans="1:15" s="126" customFormat="1" ht="28.5" customHeight="1" x14ac:dyDescent="0.2">
      <c r="A30" s="398" t="s">
        <v>653</v>
      </c>
      <c r="B30" s="505" t="s">
        <v>398</v>
      </c>
      <c r="C30" s="400" t="s">
        <v>644</v>
      </c>
      <c r="D30" s="401" t="s">
        <v>252</v>
      </c>
      <c r="E30" s="400" t="s">
        <v>225</v>
      </c>
      <c r="F30" s="403">
        <v>2.0299999999999998</v>
      </c>
      <c r="G30" s="403"/>
      <c r="H30" s="403">
        <f>G30*(1+$I$2)</f>
        <v>0</v>
      </c>
      <c r="I30" s="405">
        <f t="shared" si="2"/>
        <v>0</v>
      </c>
    </row>
    <row r="31" spans="1:15" s="126" customFormat="1" ht="21.75" customHeight="1" x14ac:dyDescent="0.2">
      <c r="A31" s="583" t="s">
        <v>600</v>
      </c>
      <c r="B31" s="583"/>
      <c r="C31" s="583"/>
      <c r="D31" s="583"/>
      <c r="E31" s="583"/>
      <c r="F31" s="583"/>
      <c r="G31" s="583"/>
      <c r="H31" s="583"/>
      <c r="I31" s="406">
        <f>SUM(I26:I30)</f>
        <v>0</v>
      </c>
      <c r="K31" s="242"/>
      <c r="L31" s="242"/>
      <c r="M31" s="242"/>
      <c r="N31" s="242"/>
      <c r="O31" s="242"/>
    </row>
    <row r="32" spans="1:15" s="126" customFormat="1" ht="6" customHeight="1" x14ac:dyDescent="0.2">
      <c r="A32" s="407"/>
      <c r="B32" s="408"/>
      <c r="C32" s="408"/>
      <c r="D32" s="409"/>
      <c r="E32" s="408"/>
      <c r="F32" s="410"/>
      <c r="G32" s="411"/>
      <c r="H32" s="412"/>
      <c r="I32" s="413"/>
      <c r="K32" s="242"/>
      <c r="L32" s="242"/>
      <c r="M32" s="242"/>
      <c r="N32" s="242"/>
      <c r="O32" s="242"/>
    </row>
    <row r="33" spans="1:15" s="260" customFormat="1" ht="18" customHeight="1" x14ac:dyDescent="0.2">
      <c r="A33" s="393" t="s">
        <v>60</v>
      </c>
      <c r="B33" s="394"/>
      <c r="C33" s="394"/>
      <c r="D33" s="395" t="s">
        <v>652</v>
      </c>
      <c r="E33" s="396"/>
      <c r="F33" s="396"/>
      <c r="G33" s="393"/>
      <c r="H33" s="393"/>
      <c r="I33" s="397"/>
      <c r="K33" s="242"/>
      <c r="L33" s="242"/>
      <c r="M33" s="242"/>
      <c r="N33" s="242"/>
      <c r="O33" s="242"/>
    </row>
    <row r="34" spans="1:15" s="260" customFormat="1" ht="18" customHeight="1" x14ac:dyDescent="0.2">
      <c r="A34" s="423" t="s">
        <v>62</v>
      </c>
      <c r="B34" s="400"/>
      <c r="C34" s="424"/>
      <c r="D34" s="418" t="s">
        <v>661</v>
      </c>
      <c r="E34" s="425"/>
      <c r="F34" s="426"/>
      <c r="G34" s="426"/>
      <c r="H34" s="426"/>
      <c r="I34" s="421"/>
      <c r="J34" s="126"/>
      <c r="K34" s="242"/>
      <c r="L34" s="242"/>
      <c r="M34" s="242"/>
      <c r="N34" s="242"/>
      <c r="O34" s="242"/>
    </row>
    <row r="35" spans="1:15" s="130" customFormat="1" ht="51" x14ac:dyDescent="0.2">
      <c r="A35" s="422" t="s">
        <v>654</v>
      </c>
      <c r="B35" s="427" t="s">
        <v>471</v>
      </c>
      <c r="C35" s="398" t="s">
        <v>662</v>
      </c>
      <c r="D35" s="401" t="s">
        <v>875</v>
      </c>
      <c r="E35" s="400" t="s">
        <v>27</v>
      </c>
      <c r="F35" s="403">
        <v>47.3</v>
      </c>
      <c r="G35" s="403"/>
      <c r="H35" s="403">
        <f t="shared" ref="H35:H41" si="4">G35*(1+$I$2)</f>
        <v>0</v>
      </c>
      <c r="I35" s="405">
        <f t="shared" si="2"/>
        <v>0</v>
      </c>
    </row>
    <row r="36" spans="1:15" s="129" customFormat="1" ht="43.5" customHeight="1" x14ac:dyDescent="0.2">
      <c r="A36" s="422" t="s">
        <v>655</v>
      </c>
      <c r="B36" s="505" t="s">
        <v>400</v>
      </c>
      <c r="C36" s="400" t="s">
        <v>644</v>
      </c>
      <c r="D36" s="401" t="s">
        <v>384</v>
      </c>
      <c r="E36" s="400" t="s">
        <v>225</v>
      </c>
      <c r="F36" s="403">
        <v>0.83</v>
      </c>
      <c r="G36" s="403"/>
      <c r="H36" s="403">
        <f t="shared" si="4"/>
        <v>0</v>
      </c>
      <c r="I36" s="405">
        <f t="shared" si="2"/>
        <v>0</v>
      </c>
      <c r="K36" s="126"/>
      <c r="L36" s="126"/>
      <c r="M36" s="126"/>
      <c r="N36" s="126"/>
      <c r="O36" s="126"/>
    </row>
    <row r="37" spans="1:15" s="126" customFormat="1" ht="28.5" customHeight="1" x14ac:dyDescent="0.2">
      <c r="A37" s="422" t="s">
        <v>656</v>
      </c>
      <c r="B37" s="505" t="s">
        <v>401</v>
      </c>
      <c r="C37" s="400" t="s">
        <v>644</v>
      </c>
      <c r="D37" s="401" t="s">
        <v>382</v>
      </c>
      <c r="E37" s="400" t="s">
        <v>225</v>
      </c>
      <c r="F37" s="403">
        <v>0.19</v>
      </c>
      <c r="G37" s="403"/>
      <c r="H37" s="403">
        <f t="shared" si="4"/>
        <v>0</v>
      </c>
      <c r="I37" s="405">
        <f t="shared" si="2"/>
        <v>0</v>
      </c>
    </row>
    <row r="38" spans="1:15" s="126" customFormat="1" ht="40.5" customHeight="1" x14ac:dyDescent="0.2">
      <c r="A38" s="422" t="s">
        <v>657</v>
      </c>
      <c r="B38" s="505" t="s">
        <v>402</v>
      </c>
      <c r="C38" s="400" t="s">
        <v>644</v>
      </c>
      <c r="D38" s="401" t="s">
        <v>385</v>
      </c>
      <c r="E38" s="400" t="s">
        <v>114</v>
      </c>
      <c r="F38" s="403">
        <v>4.32</v>
      </c>
      <c r="G38" s="403"/>
      <c r="H38" s="403">
        <f t="shared" si="4"/>
        <v>0</v>
      </c>
      <c r="I38" s="405">
        <f t="shared" ref="I38:I40" si="5">ROUND(F38*H38,2)</f>
        <v>0</v>
      </c>
    </row>
    <row r="39" spans="1:15" s="130" customFormat="1" ht="28.5" customHeight="1" x14ac:dyDescent="0.2">
      <c r="A39" s="422" t="s">
        <v>658</v>
      </c>
      <c r="B39" s="428" t="s">
        <v>403</v>
      </c>
      <c r="C39" s="400" t="s">
        <v>644</v>
      </c>
      <c r="D39" s="401" t="s">
        <v>255</v>
      </c>
      <c r="E39" s="400" t="s">
        <v>205</v>
      </c>
      <c r="F39" s="403">
        <v>2.6</v>
      </c>
      <c r="G39" s="403"/>
      <c r="H39" s="403">
        <f t="shared" si="4"/>
        <v>0</v>
      </c>
      <c r="I39" s="405">
        <f t="shared" si="5"/>
        <v>0</v>
      </c>
      <c r="K39" s="126"/>
      <c r="L39" s="126"/>
      <c r="M39" s="126"/>
      <c r="N39" s="126"/>
      <c r="O39" s="126"/>
    </row>
    <row r="40" spans="1:15" s="129" customFormat="1" ht="28.5" customHeight="1" x14ac:dyDescent="0.2">
      <c r="A40" s="422" t="s">
        <v>659</v>
      </c>
      <c r="B40" s="505" t="s">
        <v>404</v>
      </c>
      <c r="C40" s="400" t="s">
        <v>644</v>
      </c>
      <c r="D40" s="401" t="s">
        <v>386</v>
      </c>
      <c r="E40" s="400" t="s">
        <v>205</v>
      </c>
      <c r="F40" s="403">
        <v>12.76</v>
      </c>
      <c r="G40" s="403"/>
      <c r="H40" s="403">
        <f t="shared" si="4"/>
        <v>0</v>
      </c>
      <c r="I40" s="405">
        <f t="shared" si="5"/>
        <v>0</v>
      </c>
      <c r="K40" s="126"/>
      <c r="L40" s="126"/>
      <c r="M40" s="126"/>
      <c r="N40" s="126"/>
      <c r="O40" s="126"/>
    </row>
    <row r="41" spans="1:15" s="129" customFormat="1" ht="29.25" customHeight="1" x14ac:dyDescent="0.2">
      <c r="A41" s="422" t="s">
        <v>660</v>
      </c>
      <c r="B41" s="505" t="s">
        <v>484</v>
      </c>
      <c r="C41" s="398" t="s">
        <v>379</v>
      </c>
      <c r="D41" s="401" t="s">
        <v>651</v>
      </c>
      <c r="E41" s="400" t="s">
        <v>114</v>
      </c>
      <c r="F41" s="403">
        <v>42.57</v>
      </c>
      <c r="G41" s="403"/>
      <c r="H41" s="403">
        <f t="shared" si="4"/>
        <v>0</v>
      </c>
      <c r="I41" s="405">
        <f t="shared" ref="I41" si="6">ROUND(F41*H41,2)</f>
        <v>0</v>
      </c>
      <c r="K41" s="126"/>
      <c r="L41" s="126"/>
      <c r="M41" s="126"/>
      <c r="N41" s="126"/>
      <c r="O41" s="126"/>
    </row>
    <row r="42" spans="1:15" s="260" customFormat="1" ht="18" customHeight="1" x14ac:dyDescent="0.2">
      <c r="A42" s="423" t="s">
        <v>63</v>
      </c>
      <c r="B42" s="400"/>
      <c r="C42" s="424"/>
      <c r="D42" s="418" t="s">
        <v>663</v>
      </c>
      <c r="E42" s="425"/>
      <c r="F42" s="426"/>
      <c r="G42" s="426"/>
      <c r="H42" s="404"/>
      <c r="I42" s="421"/>
      <c r="J42" s="126"/>
      <c r="K42" s="242"/>
      <c r="L42" s="242"/>
      <c r="M42" s="242"/>
      <c r="N42" s="242"/>
      <c r="O42" s="242"/>
    </row>
    <row r="43" spans="1:15" s="130" customFormat="1" ht="50.25" customHeight="1" x14ac:dyDescent="0.2">
      <c r="A43" s="422" t="s">
        <v>664</v>
      </c>
      <c r="B43" s="505" t="s">
        <v>469</v>
      </c>
      <c r="C43" s="398" t="s">
        <v>662</v>
      </c>
      <c r="D43" s="429" t="s">
        <v>876</v>
      </c>
      <c r="E43" s="430" t="s">
        <v>27</v>
      </c>
      <c r="F43" s="403">
        <v>50.5</v>
      </c>
      <c r="G43" s="403"/>
      <c r="H43" s="403">
        <f>G43*(1+$I$2)</f>
        <v>0</v>
      </c>
      <c r="I43" s="405">
        <f>ROUND(F43*H43,2)</f>
        <v>0</v>
      </c>
    </row>
    <row r="44" spans="1:15" s="260" customFormat="1" ht="18" customHeight="1" x14ac:dyDescent="0.2">
      <c r="A44" s="423" t="s">
        <v>64</v>
      </c>
      <c r="B44" s="400"/>
      <c r="C44" s="424"/>
      <c r="D44" s="418" t="s">
        <v>665</v>
      </c>
      <c r="E44" s="425"/>
      <c r="F44" s="426"/>
      <c r="G44" s="426"/>
      <c r="H44" s="404"/>
      <c r="I44" s="421"/>
      <c r="J44" s="126"/>
      <c r="K44" s="242"/>
      <c r="L44" s="242"/>
      <c r="M44" s="242"/>
      <c r="N44" s="242"/>
      <c r="O44" s="242"/>
    </row>
    <row r="45" spans="1:15" s="130" customFormat="1" ht="30" customHeight="1" x14ac:dyDescent="0.2">
      <c r="A45" s="422" t="s">
        <v>666</v>
      </c>
      <c r="B45" s="505" t="s">
        <v>406</v>
      </c>
      <c r="C45" s="400" t="s">
        <v>644</v>
      </c>
      <c r="D45" s="401" t="s">
        <v>522</v>
      </c>
      <c r="E45" s="400" t="s">
        <v>114</v>
      </c>
      <c r="F45" s="403">
        <v>3.32</v>
      </c>
      <c r="G45" s="403"/>
      <c r="H45" s="403">
        <f>G45*(1+$I$2)</f>
        <v>0</v>
      </c>
      <c r="I45" s="405">
        <f>ROUND(F45*H45,2)</f>
        <v>0</v>
      </c>
      <c r="K45" s="126"/>
      <c r="L45" s="126"/>
      <c r="M45" s="126"/>
      <c r="N45" s="126"/>
      <c r="O45" s="126"/>
    </row>
    <row r="46" spans="1:15" s="126" customFormat="1" ht="21.75" customHeight="1" x14ac:dyDescent="0.2">
      <c r="A46" s="583" t="s">
        <v>601</v>
      </c>
      <c r="B46" s="583"/>
      <c r="C46" s="583"/>
      <c r="D46" s="583"/>
      <c r="E46" s="583"/>
      <c r="F46" s="583"/>
      <c r="G46" s="583"/>
      <c r="H46" s="583"/>
      <c r="I46" s="406">
        <f>SUM(I35:I45)</f>
        <v>0</v>
      </c>
      <c r="K46" s="242"/>
      <c r="L46" s="242"/>
      <c r="M46" s="242"/>
      <c r="N46" s="242"/>
      <c r="O46" s="242"/>
    </row>
    <row r="47" spans="1:15" s="126" customFormat="1" ht="6" customHeight="1" x14ac:dyDescent="0.2">
      <c r="A47" s="407"/>
      <c r="B47" s="408"/>
      <c r="C47" s="408"/>
      <c r="D47" s="409"/>
      <c r="E47" s="408"/>
      <c r="F47" s="410"/>
      <c r="G47" s="411"/>
      <c r="H47" s="412"/>
      <c r="I47" s="413"/>
      <c r="K47" s="242"/>
      <c r="L47" s="242"/>
      <c r="M47" s="242"/>
      <c r="N47" s="242"/>
      <c r="O47" s="242"/>
    </row>
    <row r="48" spans="1:15" s="260" customFormat="1" ht="18" customHeight="1" x14ac:dyDescent="0.2">
      <c r="A48" s="393" t="s">
        <v>68</v>
      </c>
      <c r="B48" s="394"/>
      <c r="C48" s="394"/>
      <c r="D48" s="395" t="s">
        <v>52</v>
      </c>
      <c r="E48" s="396"/>
      <c r="F48" s="396"/>
      <c r="G48" s="393"/>
      <c r="H48" s="393"/>
      <c r="I48" s="397"/>
      <c r="K48" s="242"/>
      <c r="L48" s="242"/>
      <c r="M48" s="242"/>
      <c r="N48" s="242"/>
      <c r="O48" s="242"/>
    </row>
    <row r="49" spans="1:15" s="260" customFormat="1" ht="25.5" x14ac:dyDescent="0.2">
      <c r="A49" s="423" t="s">
        <v>122</v>
      </c>
      <c r="B49" s="400"/>
      <c r="C49" s="424"/>
      <c r="D49" s="418" t="s">
        <v>667</v>
      </c>
      <c r="E49" s="425"/>
      <c r="F49" s="426"/>
      <c r="G49" s="426"/>
      <c r="H49" s="404"/>
      <c r="I49" s="421"/>
      <c r="J49" s="126"/>
      <c r="K49" s="242"/>
      <c r="L49" s="242"/>
      <c r="M49" s="242"/>
      <c r="N49" s="242"/>
      <c r="O49" s="242"/>
    </row>
    <row r="50" spans="1:15" s="126" customFormat="1" ht="54.95" customHeight="1" x14ac:dyDescent="0.2">
      <c r="A50" s="398" t="s">
        <v>668</v>
      </c>
      <c r="B50" s="505" t="s">
        <v>466</v>
      </c>
      <c r="C50" s="400" t="s">
        <v>644</v>
      </c>
      <c r="D50" s="429" t="s">
        <v>465</v>
      </c>
      <c r="E50" s="430" t="s">
        <v>114</v>
      </c>
      <c r="F50" s="403">
        <v>93.98</v>
      </c>
      <c r="G50" s="403"/>
      <c r="H50" s="403">
        <f>G50*(1+$I$2)</f>
        <v>0</v>
      </c>
      <c r="I50" s="405">
        <f t="shared" ref="I50:I63" si="7">ROUND(F50*H50,2)</f>
        <v>0</v>
      </c>
    </row>
    <row r="51" spans="1:15" s="126" customFormat="1" ht="21.75" customHeight="1" x14ac:dyDescent="0.2">
      <c r="A51" s="583" t="s">
        <v>603</v>
      </c>
      <c r="B51" s="583"/>
      <c r="C51" s="583"/>
      <c r="D51" s="583"/>
      <c r="E51" s="583"/>
      <c r="F51" s="583"/>
      <c r="G51" s="583"/>
      <c r="H51" s="583"/>
      <c r="I51" s="406">
        <f>SUM(I50)</f>
        <v>0</v>
      </c>
      <c r="K51" s="242"/>
      <c r="L51" s="242"/>
      <c r="M51" s="242"/>
      <c r="N51" s="242"/>
      <c r="O51" s="242"/>
    </row>
    <row r="52" spans="1:15" s="126" customFormat="1" ht="6" customHeight="1" x14ac:dyDescent="0.2">
      <c r="A52" s="407"/>
      <c r="B52" s="408"/>
      <c r="C52" s="408"/>
      <c r="D52" s="409"/>
      <c r="E52" s="408"/>
      <c r="F52" s="410"/>
      <c r="G52" s="411"/>
      <c r="H52" s="412"/>
      <c r="I52" s="413"/>
      <c r="K52" s="242"/>
      <c r="L52" s="242"/>
      <c r="M52" s="242"/>
      <c r="N52" s="242"/>
      <c r="O52" s="242"/>
    </row>
    <row r="53" spans="1:15" s="260" customFormat="1" ht="18" customHeight="1" x14ac:dyDescent="0.2">
      <c r="A53" s="393" t="s">
        <v>70</v>
      </c>
      <c r="B53" s="394"/>
      <c r="C53" s="394"/>
      <c r="D53" s="395" t="s">
        <v>669</v>
      </c>
      <c r="E53" s="396"/>
      <c r="F53" s="396"/>
      <c r="G53" s="393"/>
      <c r="H53" s="393"/>
      <c r="I53" s="397"/>
      <c r="K53" s="242"/>
      <c r="L53" s="242"/>
      <c r="M53" s="242"/>
      <c r="N53" s="242"/>
      <c r="O53" s="242"/>
    </row>
    <row r="54" spans="1:15" s="126" customFormat="1" ht="30" customHeight="1" x14ac:dyDescent="0.2">
      <c r="A54" s="422" t="s">
        <v>72</v>
      </c>
      <c r="B54" s="505" t="s">
        <v>405</v>
      </c>
      <c r="C54" s="400" t="s">
        <v>644</v>
      </c>
      <c r="D54" s="401" t="s">
        <v>420</v>
      </c>
      <c r="E54" s="400" t="s">
        <v>114</v>
      </c>
      <c r="F54" s="403">
        <v>2.35</v>
      </c>
      <c r="G54" s="403"/>
      <c r="H54" s="403">
        <f>G54*(1+$I$2)</f>
        <v>0</v>
      </c>
      <c r="I54" s="405">
        <f t="shared" si="7"/>
        <v>0</v>
      </c>
    </row>
    <row r="55" spans="1:15" s="126" customFormat="1" ht="38.25" x14ac:dyDescent="0.2">
      <c r="A55" s="422" t="s">
        <v>73</v>
      </c>
      <c r="B55" s="505" t="s">
        <v>504</v>
      </c>
      <c r="C55" s="398" t="s">
        <v>379</v>
      </c>
      <c r="D55" s="401" t="s">
        <v>670</v>
      </c>
      <c r="E55" s="400" t="s">
        <v>114</v>
      </c>
      <c r="F55" s="403">
        <v>2.35</v>
      </c>
      <c r="G55" s="403"/>
      <c r="H55" s="403">
        <f>G55*(1+$I$2)</f>
        <v>0</v>
      </c>
      <c r="I55" s="405">
        <f t="shared" ref="I55" si="8">ROUND(F55*H55,2)</f>
        <v>0</v>
      </c>
    </row>
    <row r="56" spans="1:15" s="126" customFormat="1" ht="21.75" customHeight="1" x14ac:dyDescent="0.2">
      <c r="A56" s="583" t="s">
        <v>604</v>
      </c>
      <c r="B56" s="583"/>
      <c r="C56" s="583"/>
      <c r="D56" s="583"/>
      <c r="E56" s="583"/>
      <c r="F56" s="583"/>
      <c r="G56" s="583"/>
      <c r="H56" s="583"/>
      <c r="I56" s="406">
        <f>SUM(I54:I55)</f>
        <v>0</v>
      </c>
      <c r="K56" s="242"/>
      <c r="L56" s="242"/>
      <c r="M56" s="242"/>
      <c r="N56" s="242"/>
      <c r="O56" s="242"/>
    </row>
    <row r="57" spans="1:15" s="126" customFormat="1" ht="6" customHeight="1" x14ac:dyDescent="0.2">
      <c r="A57" s="407"/>
      <c r="B57" s="408"/>
      <c r="C57" s="408"/>
      <c r="D57" s="409"/>
      <c r="E57" s="408"/>
      <c r="F57" s="410"/>
      <c r="G57" s="411"/>
      <c r="H57" s="412"/>
      <c r="I57" s="413"/>
      <c r="K57" s="242"/>
      <c r="L57" s="242"/>
      <c r="M57" s="242"/>
      <c r="N57" s="242"/>
      <c r="O57" s="242"/>
    </row>
    <row r="58" spans="1:15" s="260" customFormat="1" ht="18" customHeight="1" x14ac:dyDescent="0.2">
      <c r="A58" s="393" t="s">
        <v>74</v>
      </c>
      <c r="B58" s="394"/>
      <c r="C58" s="394"/>
      <c r="D58" s="395" t="s">
        <v>671</v>
      </c>
      <c r="E58" s="396"/>
      <c r="F58" s="396"/>
      <c r="G58" s="393"/>
      <c r="H58" s="393"/>
      <c r="I58" s="397"/>
      <c r="K58" s="242"/>
      <c r="L58" s="242"/>
      <c r="M58" s="242"/>
      <c r="N58" s="242"/>
      <c r="O58" s="242"/>
    </row>
    <row r="59" spans="1:15" s="126" customFormat="1" ht="33.75" customHeight="1" x14ac:dyDescent="0.2">
      <c r="A59" s="422" t="s">
        <v>76</v>
      </c>
      <c r="B59" s="505" t="s">
        <v>509</v>
      </c>
      <c r="C59" s="398" t="s">
        <v>379</v>
      </c>
      <c r="D59" s="401" t="s">
        <v>672</v>
      </c>
      <c r="E59" s="400" t="s">
        <v>114</v>
      </c>
      <c r="F59" s="403">
        <v>190.59</v>
      </c>
      <c r="G59" s="403"/>
      <c r="H59" s="403">
        <f>G59*(1+$I$2)</f>
        <v>0</v>
      </c>
      <c r="I59" s="405">
        <f t="shared" si="7"/>
        <v>0</v>
      </c>
    </row>
    <row r="60" spans="1:15" s="126" customFormat="1" ht="45" customHeight="1" x14ac:dyDescent="0.2">
      <c r="A60" s="422" t="s">
        <v>77</v>
      </c>
      <c r="B60" s="505" t="s">
        <v>503</v>
      </c>
      <c r="C60" s="398" t="s">
        <v>379</v>
      </c>
      <c r="D60" s="401" t="s">
        <v>673</v>
      </c>
      <c r="E60" s="400" t="s">
        <v>114</v>
      </c>
      <c r="F60" s="403">
        <v>108.34</v>
      </c>
      <c r="G60" s="403"/>
      <c r="H60" s="403">
        <f>G60*(1+$I$2)</f>
        <v>0</v>
      </c>
      <c r="I60" s="405">
        <f t="shared" si="7"/>
        <v>0</v>
      </c>
    </row>
    <row r="61" spans="1:15" s="130" customFormat="1" ht="38.25" x14ac:dyDescent="0.2">
      <c r="A61" s="422" t="s">
        <v>176</v>
      </c>
      <c r="B61" s="428" t="s">
        <v>505</v>
      </c>
      <c r="C61" s="398" t="s">
        <v>589</v>
      </c>
      <c r="D61" s="401" t="s">
        <v>519</v>
      </c>
      <c r="E61" s="400" t="s">
        <v>114</v>
      </c>
      <c r="F61" s="403">
        <v>61.99</v>
      </c>
      <c r="G61" s="403"/>
      <c r="H61" s="403">
        <f>G61*(1+$I$2)</f>
        <v>0</v>
      </c>
      <c r="I61" s="405">
        <f>ROUND(F61*H61,2)</f>
        <v>0</v>
      </c>
    </row>
    <row r="62" spans="1:15" s="126" customFormat="1" ht="30" customHeight="1" x14ac:dyDescent="0.2">
      <c r="A62" s="422" t="s">
        <v>177</v>
      </c>
      <c r="B62" s="505" t="s">
        <v>674</v>
      </c>
      <c r="C62" s="400" t="s">
        <v>644</v>
      </c>
      <c r="D62" s="401" t="s">
        <v>381</v>
      </c>
      <c r="E62" s="400" t="s">
        <v>114</v>
      </c>
      <c r="F62" s="403">
        <v>20.260000000000002</v>
      </c>
      <c r="G62" s="403"/>
      <c r="H62" s="403">
        <f>G62*(1+$I$2)</f>
        <v>0</v>
      </c>
      <c r="I62" s="405">
        <f t="shared" si="7"/>
        <v>0</v>
      </c>
    </row>
    <row r="63" spans="1:15" s="141" customFormat="1" ht="55.5" customHeight="1" x14ac:dyDescent="0.2">
      <c r="A63" s="422" t="s">
        <v>178</v>
      </c>
      <c r="B63" s="505" t="s">
        <v>506</v>
      </c>
      <c r="C63" s="398" t="s">
        <v>379</v>
      </c>
      <c r="D63" s="401" t="s">
        <v>675</v>
      </c>
      <c r="E63" s="400" t="s">
        <v>114</v>
      </c>
      <c r="F63" s="403">
        <v>20.260000000000002</v>
      </c>
      <c r="G63" s="403"/>
      <c r="H63" s="403">
        <f>G63*(1+$I$2)</f>
        <v>0</v>
      </c>
      <c r="I63" s="405">
        <f t="shared" si="7"/>
        <v>0</v>
      </c>
      <c r="K63" s="126"/>
      <c r="L63" s="126"/>
      <c r="M63" s="126"/>
      <c r="N63" s="126"/>
      <c r="O63" s="126"/>
    </row>
    <row r="64" spans="1:15" s="141" customFormat="1" ht="21" customHeight="1" x14ac:dyDescent="0.2">
      <c r="A64" s="583" t="s">
        <v>605</v>
      </c>
      <c r="B64" s="583"/>
      <c r="C64" s="583"/>
      <c r="D64" s="583"/>
      <c r="E64" s="583"/>
      <c r="F64" s="583"/>
      <c r="G64" s="583"/>
      <c r="H64" s="583"/>
      <c r="I64" s="406">
        <f>SUM(I59:I63)</f>
        <v>0</v>
      </c>
      <c r="K64" s="242"/>
      <c r="L64" s="242"/>
      <c r="M64" s="242"/>
      <c r="N64" s="242"/>
      <c r="O64" s="242"/>
    </row>
    <row r="65" spans="1:15" s="141" customFormat="1" ht="6" customHeight="1" x14ac:dyDescent="0.2">
      <c r="A65" s="407"/>
      <c r="B65" s="408"/>
      <c r="C65" s="408"/>
      <c r="D65" s="409"/>
      <c r="E65" s="408"/>
      <c r="F65" s="410"/>
      <c r="G65" s="411"/>
      <c r="H65" s="431"/>
      <c r="I65" s="432"/>
      <c r="K65" s="242"/>
      <c r="L65" s="242"/>
      <c r="M65" s="242"/>
      <c r="N65" s="242"/>
      <c r="O65" s="242"/>
    </row>
    <row r="66" spans="1:15" s="261" customFormat="1" ht="15.75" customHeight="1" x14ac:dyDescent="0.2">
      <c r="A66" s="433" t="s">
        <v>78</v>
      </c>
      <c r="B66" s="434"/>
      <c r="C66" s="435"/>
      <c r="D66" s="395" t="s">
        <v>692</v>
      </c>
      <c r="E66" s="434"/>
      <c r="F66" s="436"/>
      <c r="G66" s="436"/>
      <c r="H66" s="437"/>
      <c r="I66" s="438"/>
      <c r="K66" s="242"/>
      <c r="L66" s="242"/>
      <c r="M66" s="242"/>
      <c r="N66" s="242"/>
      <c r="O66" s="242"/>
    </row>
    <row r="67" spans="1:15" s="241" customFormat="1" ht="15" customHeight="1" x14ac:dyDescent="0.2">
      <c r="A67" s="439" t="s">
        <v>80</v>
      </c>
      <c r="B67" s="440"/>
      <c r="C67" s="441"/>
      <c r="D67" s="442" t="s">
        <v>676</v>
      </c>
      <c r="E67" s="400"/>
      <c r="F67" s="425"/>
      <c r="G67" s="425"/>
      <c r="H67" s="443"/>
      <c r="I67" s="426"/>
      <c r="K67" s="242"/>
      <c r="L67" s="242"/>
      <c r="M67" s="242"/>
      <c r="N67" s="242"/>
      <c r="O67" s="242"/>
    </row>
    <row r="68" spans="1:15" s="126" customFormat="1" ht="25.5" x14ac:dyDescent="0.2">
      <c r="A68" s="422" t="s">
        <v>677</v>
      </c>
      <c r="B68" s="505" t="s">
        <v>415</v>
      </c>
      <c r="C68" s="398" t="s">
        <v>379</v>
      </c>
      <c r="D68" s="401" t="s">
        <v>679</v>
      </c>
      <c r="E68" s="400" t="s">
        <v>27</v>
      </c>
      <c r="F68" s="403">
        <v>49.2</v>
      </c>
      <c r="G68" s="403"/>
      <c r="H68" s="403">
        <f>G68*(1+$I$2)</f>
        <v>0</v>
      </c>
      <c r="I68" s="405">
        <f t="shared" ref="I68:I77" si="9">ROUND(F68*H68,2)</f>
        <v>0</v>
      </c>
    </row>
    <row r="69" spans="1:15" s="126" customFormat="1" ht="25.5" x14ac:dyDescent="0.2">
      <c r="A69" s="422" t="s">
        <v>678</v>
      </c>
      <c r="B69" s="505" t="s">
        <v>408</v>
      </c>
      <c r="C69" s="398" t="s">
        <v>379</v>
      </c>
      <c r="D69" s="401" t="s">
        <v>680</v>
      </c>
      <c r="E69" s="400" t="s">
        <v>67</v>
      </c>
      <c r="F69" s="403">
        <v>5</v>
      </c>
      <c r="G69" s="403"/>
      <c r="H69" s="403">
        <f>G69*(1+$I$2)</f>
        <v>0</v>
      </c>
      <c r="I69" s="405">
        <f t="shared" si="9"/>
        <v>0</v>
      </c>
    </row>
    <row r="70" spans="1:15" s="241" customFormat="1" ht="16.5" customHeight="1" x14ac:dyDescent="0.2">
      <c r="A70" s="439" t="s">
        <v>81</v>
      </c>
      <c r="B70" s="440"/>
      <c r="C70" s="441"/>
      <c r="D70" s="442" t="s">
        <v>681</v>
      </c>
      <c r="E70" s="400"/>
      <c r="F70" s="425"/>
      <c r="G70" s="425"/>
      <c r="H70" s="404"/>
      <c r="I70" s="405"/>
      <c r="K70" s="242"/>
      <c r="L70" s="242"/>
      <c r="M70" s="242"/>
      <c r="N70" s="242"/>
      <c r="O70" s="242"/>
    </row>
    <row r="71" spans="1:15" s="126" customFormat="1" ht="25.5" x14ac:dyDescent="0.2">
      <c r="A71" s="422" t="s">
        <v>682</v>
      </c>
      <c r="B71" s="398">
        <v>91305</v>
      </c>
      <c r="C71" s="444" t="s">
        <v>379</v>
      </c>
      <c r="D71" s="445" t="s">
        <v>685</v>
      </c>
      <c r="E71" s="400" t="s">
        <v>67</v>
      </c>
      <c r="F71" s="425">
        <v>1</v>
      </c>
      <c r="G71" s="425"/>
      <c r="H71" s="403">
        <f>G71*(1+$I$2)</f>
        <v>0</v>
      </c>
      <c r="I71" s="405">
        <f t="shared" si="9"/>
        <v>0</v>
      </c>
    </row>
    <row r="72" spans="1:15" s="126" customFormat="1" ht="25.5" x14ac:dyDescent="0.2">
      <c r="A72" s="422" t="s">
        <v>683</v>
      </c>
      <c r="B72" s="398">
        <v>91304</v>
      </c>
      <c r="C72" s="444" t="s">
        <v>379</v>
      </c>
      <c r="D72" s="445" t="s">
        <v>686</v>
      </c>
      <c r="E72" s="400" t="s">
        <v>67</v>
      </c>
      <c r="F72" s="425">
        <v>2</v>
      </c>
      <c r="G72" s="425"/>
      <c r="H72" s="403">
        <f>G72*(1+$I$2)</f>
        <v>0</v>
      </c>
      <c r="I72" s="405">
        <f t="shared" si="9"/>
        <v>0</v>
      </c>
    </row>
    <row r="73" spans="1:15" s="126" customFormat="1" ht="25.5" x14ac:dyDescent="0.2">
      <c r="A73" s="422" t="s">
        <v>684</v>
      </c>
      <c r="B73" s="398">
        <v>91307</v>
      </c>
      <c r="C73" s="444" t="s">
        <v>379</v>
      </c>
      <c r="D73" s="445" t="s">
        <v>687</v>
      </c>
      <c r="E73" s="400" t="s">
        <v>67</v>
      </c>
      <c r="F73" s="425">
        <v>2</v>
      </c>
      <c r="G73" s="425"/>
      <c r="H73" s="403">
        <f>G73*(1+$I$2)</f>
        <v>0</v>
      </c>
      <c r="I73" s="405">
        <f t="shared" si="9"/>
        <v>0</v>
      </c>
    </row>
    <row r="74" spans="1:15" s="241" customFormat="1" ht="15.75" customHeight="1" x14ac:dyDescent="0.2">
      <c r="A74" s="439" t="s">
        <v>82</v>
      </c>
      <c r="B74" s="398"/>
      <c r="C74" s="444"/>
      <c r="D74" s="442" t="s">
        <v>688</v>
      </c>
      <c r="E74" s="400"/>
      <c r="F74" s="425"/>
      <c r="G74" s="425"/>
      <c r="H74" s="404"/>
      <c r="I74" s="405"/>
      <c r="K74" s="242"/>
      <c r="L74" s="242"/>
      <c r="M74" s="242"/>
      <c r="N74" s="242"/>
      <c r="O74" s="242"/>
    </row>
    <row r="75" spans="1:15" s="126" customFormat="1" ht="25.5" x14ac:dyDescent="0.2">
      <c r="A75" s="398" t="s">
        <v>689</v>
      </c>
      <c r="B75" s="398">
        <v>91009</v>
      </c>
      <c r="C75" s="444" t="s">
        <v>379</v>
      </c>
      <c r="D75" s="445" t="s">
        <v>693</v>
      </c>
      <c r="E75" s="400" t="s">
        <v>67</v>
      </c>
      <c r="F75" s="425">
        <v>1</v>
      </c>
      <c r="G75" s="425"/>
      <c r="H75" s="403">
        <f>G75*(1+$I$2)</f>
        <v>0</v>
      </c>
      <c r="I75" s="405">
        <f t="shared" si="9"/>
        <v>0</v>
      </c>
    </row>
    <row r="76" spans="1:15" s="126" customFormat="1" ht="30.75" customHeight="1" x14ac:dyDescent="0.2">
      <c r="A76" s="398" t="s">
        <v>690</v>
      </c>
      <c r="B76" s="398">
        <v>91010</v>
      </c>
      <c r="C76" s="444" t="s">
        <v>379</v>
      </c>
      <c r="D76" s="445" t="s">
        <v>694</v>
      </c>
      <c r="E76" s="400" t="s">
        <v>67</v>
      </c>
      <c r="F76" s="425">
        <v>2</v>
      </c>
      <c r="G76" s="425"/>
      <c r="H76" s="403">
        <f>G76*(1+$I$2)</f>
        <v>0</v>
      </c>
      <c r="I76" s="405">
        <f t="shared" si="9"/>
        <v>0</v>
      </c>
    </row>
    <row r="77" spans="1:15" s="126" customFormat="1" ht="25.5" x14ac:dyDescent="0.2">
      <c r="A77" s="398" t="s">
        <v>691</v>
      </c>
      <c r="B77" s="398">
        <v>91011</v>
      </c>
      <c r="C77" s="444" t="s">
        <v>379</v>
      </c>
      <c r="D77" s="445" t="s">
        <v>695</v>
      </c>
      <c r="E77" s="400" t="s">
        <v>67</v>
      </c>
      <c r="F77" s="425">
        <v>2</v>
      </c>
      <c r="G77" s="425"/>
      <c r="H77" s="403">
        <f>G77*(1+$I$2)</f>
        <v>0</v>
      </c>
      <c r="I77" s="405">
        <f t="shared" si="9"/>
        <v>0</v>
      </c>
    </row>
    <row r="78" spans="1:15" s="130" customFormat="1" ht="21" customHeight="1" x14ac:dyDescent="0.2">
      <c r="A78" s="583" t="s">
        <v>606</v>
      </c>
      <c r="B78" s="583"/>
      <c r="C78" s="583"/>
      <c r="D78" s="583"/>
      <c r="E78" s="583"/>
      <c r="F78" s="583"/>
      <c r="G78" s="583"/>
      <c r="H78" s="583"/>
      <c r="I78" s="406">
        <f>SUM(I67:I77)</f>
        <v>0</v>
      </c>
      <c r="K78" s="242"/>
      <c r="L78" s="242"/>
      <c r="M78" s="242"/>
      <c r="N78" s="242"/>
      <c r="O78" s="242"/>
    </row>
    <row r="79" spans="1:15" s="130" customFormat="1" ht="6.75" customHeight="1" x14ac:dyDescent="0.2">
      <c r="A79" s="407"/>
      <c r="B79" s="408"/>
      <c r="C79" s="408"/>
      <c r="D79" s="409"/>
      <c r="E79" s="408"/>
      <c r="F79" s="410"/>
      <c r="G79" s="411"/>
      <c r="H79" s="431"/>
      <c r="I79" s="432"/>
      <c r="K79" s="242"/>
      <c r="L79" s="242"/>
      <c r="M79" s="242"/>
      <c r="N79" s="242"/>
      <c r="O79" s="242"/>
    </row>
    <row r="80" spans="1:15" s="261" customFormat="1" ht="15.75" customHeight="1" x14ac:dyDescent="0.2">
      <c r="A80" s="433" t="s">
        <v>90</v>
      </c>
      <c r="B80" s="434"/>
      <c r="C80" s="435"/>
      <c r="D80" s="395" t="s">
        <v>696</v>
      </c>
      <c r="E80" s="434"/>
      <c r="F80" s="436"/>
      <c r="G80" s="436"/>
      <c r="H80" s="437"/>
      <c r="I80" s="438"/>
      <c r="K80" s="242"/>
      <c r="L80" s="242"/>
      <c r="M80" s="242"/>
      <c r="N80" s="242"/>
      <c r="O80" s="242"/>
    </row>
    <row r="81" spans="1:15" s="241" customFormat="1" ht="15.75" customHeight="1" x14ac:dyDescent="0.2">
      <c r="A81" s="439" t="s">
        <v>92</v>
      </c>
      <c r="B81" s="440"/>
      <c r="C81" s="441"/>
      <c r="D81" s="442" t="s">
        <v>697</v>
      </c>
      <c r="E81" s="400"/>
      <c r="F81" s="425"/>
      <c r="G81" s="425"/>
      <c r="H81" s="443"/>
      <c r="I81" s="426"/>
      <c r="K81" s="242"/>
      <c r="L81" s="242"/>
      <c r="M81" s="242"/>
      <c r="N81" s="242"/>
      <c r="O81" s="242"/>
    </row>
    <row r="82" spans="1:15" s="130" customFormat="1" ht="27.75" customHeight="1" x14ac:dyDescent="0.2">
      <c r="A82" s="422" t="s">
        <v>698</v>
      </c>
      <c r="B82" s="400" t="s">
        <v>507</v>
      </c>
      <c r="C82" s="446" t="s">
        <v>589</v>
      </c>
      <c r="D82" s="445" t="s">
        <v>508</v>
      </c>
      <c r="E82" s="400" t="s">
        <v>114</v>
      </c>
      <c r="F82" s="425">
        <v>4.5999999999999996</v>
      </c>
      <c r="G82" s="425"/>
      <c r="H82" s="403">
        <f>G82*(1+$I$2)</f>
        <v>0</v>
      </c>
      <c r="I82" s="405">
        <f t="shared" ref="I82:I84" si="10">ROUND(F82*H82,2)</f>
        <v>0</v>
      </c>
    </row>
    <row r="83" spans="1:15" s="126" customFormat="1" ht="25.5" x14ac:dyDescent="0.2">
      <c r="A83" s="422" t="s">
        <v>699</v>
      </c>
      <c r="B83" s="400">
        <v>71702</v>
      </c>
      <c r="C83" s="400" t="s">
        <v>644</v>
      </c>
      <c r="D83" s="445" t="s">
        <v>243</v>
      </c>
      <c r="E83" s="400" t="s">
        <v>114</v>
      </c>
      <c r="F83" s="425">
        <v>0.18</v>
      </c>
      <c r="G83" s="425"/>
      <c r="H83" s="403">
        <f>G83*(1+$I$2)</f>
        <v>0</v>
      </c>
      <c r="I83" s="405">
        <f t="shared" si="10"/>
        <v>0</v>
      </c>
    </row>
    <row r="84" spans="1:15" s="130" customFormat="1" ht="25.5" x14ac:dyDescent="0.2">
      <c r="A84" s="422" t="s">
        <v>700</v>
      </c>
      <c r="B84" s="398">
        <v>130317</v>
      </c>
      <c r="C84" s="400" t="s">
        <v>644</v>
      </c>
      <c r="D84" s="445" t="s">
        <v>352</v>
      </c>
      <c r="E84" s="400" t="s">
        <v>27</v>
      </c>
      <c r="F84" s="425">
        <v>5</v>
      </c>
      <c r="G84" s="425"/>
      <c r="H84" s="403">
        <f>G84*(1+$I$2)</f>
        <v>0</v>
      </c>
      <c r="I84" s="405">
        <f t="shared" si="10"/>
        <v>0</v>
      </c>
      <c r="K84" s="126"/>
      <c r="L84" s="126"/>
      <c r="M84" s="126"/>
      <c r="N84" s="126"/>
      <c r="O84" s="126"/>
    </row>
    <row r="85" spans="1:15" s="130" customFormat="1" ht="21" customHeight="1" x14ac:dyDescent="0.2">
      <c r="A85" s="583" t="s">
        <v>609</v>
      </c>
      <c r="B85" s="583"/>
      <c r="C85" s="583"/>
      <c r="D85" s="583"/>
      <c r="E85" s="583"/>
      <c r="F85" s="583"/>
      <c r="G85" s="583"/>
      <c r="H85" s="583"/>
      <c r="I85" s="406">
        <f>SUM(I82:I84)</f>
        <v>0</v>
      </c>
      <c r="K85" s="242"/>
      <c r="L85" s="242"/>
      <c r="M85" s="242"/>
      <c r="N85" s="242"/>
      <c r="O85" s="242"/>
    </row>
    <row r="86" spans="1:15" s="130" customFormat="1" ht="6.75" customHeight="1" x14ac:dyDescent="0.2">
      <c r="A86" s="407"/>
      <c r="B86" s="408"/>
      <c r="C86" s="408"/>
      <c r="D86" s="409"/>
      <c r="E86" s="408"/>
      <c r="F86" s="410"/>
      <c r="G86" s="411"/>
      <c r="H86" s="431"/>
      <c r="I86" s="432"/>
      <c r="K86" s="242"/>
      <c r="L86" s="242"/>
      <c r="M86" s="242"/>
      <c r="N86" s="242"/>
      <c r="O86" s="242"/>
    </row>
    <row r="87" spans="1:15" s="261" customFormat="1" ht="15.75" customHeight="1" x14ac:dyDescent="0.2">
      <c r="A87" s="433" t="s">
        <v>105</v>
      </c>
      <c r="B87" s="434"/>
      <c r="C87" s="435"/>
      <c r="D87" s="447" t="s">
        <v>602</v>
      </c>
      <c r="E87" s="434"/>
      <c r="F87" s="436"/>
      <c r="G87" s="436"/>
      <c r="H87" s="437"/>
      <c r="I87" s="438"/>
      <c r="K87" s="242"/>
      <c r="L87" s="242"/>
      <c r="M87" s="242"/>
      <c r="N87" s="242"/>
      <c r="O87" s="242"/>
    </row>
    <row r="88" spans="1:15" s="241" customFormat="1" ht="15.75" customHeight="1" x14ac:dyDescent="0.2">
      <c r="A88" s="439" t="s">
        <v>108</v>
      </c>
      <c r="B88" s="440"/>
      <c r="C88" s="441"/>
      <c r="D88" s="442" t="s">
        <v>702</v>
      </c>
      <c r="E88" s="400"/>
      <c r="F88" s="425"/>
      <c r="G88" s="425"/>
      <c r="H88" s="443"/>
      <c r="I88" s="426"/>
      <c r="K88" s="242"/>
      <c r="L88" s="242"/>
      <c r="M88" s="242"/>
      <c r="N88" s="242"/>
      <c r="O88" s="242"/>
    </row>
    <row r="89" spans="1:15" s="130" customFormat="1" ht="30" customHeight="1" x14ac:dyDescent="0.2">
      <c r="A89" s="398" t="s">
        <v>701</v>
      </c>
      <c r="B89" s="505" t="s">
        <v>409</v>
      </c>
      <c r="C89" s="400" t="s">
        <v>644</v>
      </c>
      <c r="D89" s="401" t="s">
        <v>231</v>
      </c>
      <c r="E89" s="400" t="s">
        <v>114</v>
      </c>
      <c r="F89" s="403">
        <v>4.78</v>
      </c>
      <c r="G89" s="403"/>
      <c r="H89" s="403">
        <f>G89*(1+$I$2)</f>
        <v>0</v>
      </c>
      <c r="I89" s="405">
        <f>ROUND(F89*H89,2)</f>
        <v>0</v>
      </c>
      <c r="K89" s="126"/>
      <c r="L89" s="126"/>
      <c r="M89" s="126"/>
      <c r="N89" s="126"/>
      <c r="O89" s="126"/>
    </row>
    <row r="90" spans="1:15" s="130" customFormat="1" ht="23.25" customHeight="1" x14ac:dyDescent="0.2">
      <c r="A90" s="583" t="s">
        <v>610</v>
      </c>
      <c r="B90" s="583"/>
      <c r="C90" s="583"/>
      <c r="D90" s="583"/>
      <c r="E90" s="583"/>
      <c r="F90" s="583"/>
      <c r="G90" s="583"/>
      <c r="H90" s="583"/>
      <c r="I90" s="406">
        <f>SUM(I89)</f>
        <v>0</v>
      </c>
      <c r="K90" s="242"/>
      <c r="L90" s="242"/>
      <c r="M90" s="242"/>
      <c r="N90" s="242"/>
      <c r="O90" s="242"/>
    </row>
    <row r="91" spans="1:15" s="130" customFormat="1" ht="6.75" customHeight="1" x14ac:dyDescent="0.2">
      <c r="A91" s="407"/>
      <c r="B91" s="408"/>
      <c r="C91" s="408"/>
      <c r="D91" s="409"/>
      <c r="E91" s="408"/>
      <c r="F91" s="410"/>
      <c r="G91" s="411"/>
      <c r="H91" s="431"/>
      <c r="I91" s="432"/>
      <c r="K91" s="242"/>
      <c r="L91" s="242"/>
      <c r="M91" s="242"/>
      <c r="N91" s="242"/>
      <c r="O91" s="242"/>
    </row>
    <row r="92" spans="1:15" s="261" customFormat="1" ht="15.75" customHeight="1" x14ac:dyDescent="0.2">
      <c r="A92" s="433" t="s">
        <v>111</v>
      </c>
      <c r="B92" s="434"/>
      <c r="C92" s="435"/>
      <c r="D92" s="447" t="s">
        <v>71</v>
      </c>
      <c r="E92" s="434"/>
      <c r="F92" s="436"/>
      <c r="G92" s="436"/>
      <c r="H92" s="437"/>
      <c r="I92" s="438"/>
      <c r="K92" s="242"/>
      <c r="L92" s="242"/>
      <c r="M92" s="242"/>
      <c r="N92" s="242"/>
      <c r="O92" s="242"/>
    </row>
    <row r="93" spans="1:15" s="241" customFormat="1" ht="15.75" customHeight="1" x14ac:dyDescent="0.2">
      <c r="A93" s="439" t="s">
        <v>113</v>
      </c>
      <c r="B93" s="440"/>
      <c r="C93" s="441"/>
      <c r="D93" s="442" t="s">
        <v>703</v>
      </c>
      <c r="E93" s="400"/>
      <c r="F93" s="425"/>
      <c r="G93" s="425"/>
      <c r="H93" s="443"/>
      <c r="I93" s="426"/>
      <c r="K93" s="242"/>
      <c r="L93" s="242"/>
      <c r="M93" s="242"/>
      <c r="N93" s="242"/>
      <c r="O93" s="242"/>
    </row>
    <row r="94" spans="1:15" s="126" customFormat="1" ht="56.25" customHeight="1" x14ac:dyDescent="0.2">
      <c r="A94" s="422" t="s">
        <v>704</v>
      </c>
      <c r="B94" s="428" t="s">
        <v>520</v>
      </c>
      <c r="C94" s="400" t="s">
        <v>644</v>
      </c>
      <c r="D94" s="401" t="s">
        <v>521</v>
      </c>
      <c r="E94" s="400" t="s">
        <v>114</v>
      </c>
      <c r="F94" s="403">
        <v>64.02</v>
      </c>
      <c r="G94" s="403"/>
      <c r="H94" s="403">
        <f>G94*(1+$I$2)</f>
        <v>0</v>
      </c>
      <c r="I94" s="405">
        <f t="shared" ref="I94:I96" si="11">ROUND(F94*H94,2)</f>
        <v>0</v>
      </c>
    </row>
    <row r="95" spans="1:15" s="241" customFormat="1" ht="15.75" customHeight="1" x14ac:dyDescent="0.2">
      <c r="A95" s="439" t="s">
        <v>309</v>
      </c>
      <c r="B95" s="440"/>
      <c r="C95" s="441"/>
      <c r="D95" s="442" t="s">
        <v>705</v>
      </c>
      <c r="E95" s="400"/>
      <c r="F95" s="425"/>
      <c r="G95" s="425"/>
      <c r="H95" s="443"/>
      <c r="I95" s="426"/>
      <c r="K95" s="242"/>
      <c r="L95" s="242"/>
      <c r="M95" s="242"/>
      <c r="N95" s="242"/>
      <c r="O95" s="242"/>
    </row>
    <row r="96" spans="1:15" s="141" customFormat="1" ht="30" customHeight="1" x14ac:dyDescent="0.2">
      <c r="A96" s="422" t="s">
        <v>706</v>
      </c>
      <c r="B96" s="505" t="s">
        <v>489</v>
      </c>
      <c r="C96" s="398" t="s">
        <v>379</v>
      </c>
      <c r="D96" s="401" t="s">
        <v>708</v>
      </c>
      <c r="E96" s="400" t="s">
        <v>114</v>
      </c>
      <c r="F96" s="403">
        <v>64.02</v>
      </c>
      <c r="G96" s="403"/>
      <c r="H96" s="403">
        <f>G96*(1+$I$2)</f>
        <v>0</v>
      </c>
      <c r="I96" s="405">
        <f t="shared" si="11"/>
        <v>0</v>
      </c>
      <c r="K96" s="126"/>
      <c r="L96" s="126"/>
      <c r="M96" s="126"/>
      <c r="N96" s="126"/>
      <c r="O96" s="126"/>
    </row>
    <row r="97" spans="1:15" s="141" customFormat="1" ht="38.25" x14ac:dyDescent="0.2">
      <c r="A97" s="422" t="s">
        <v>707</v>
      </c>
      <c r="B97" s="505" t="s">
        <v>490</v>
      </c>
      <c r="C97" s="398" t="s">
        <v>379</v>
      </c>
      <c r="D97" s="401" t="s">
        <v>709</v>
      </c>
      <c r="E97" s="400" t="s">
        <v>27</v>
      </c>
      <c r="F97" s="403">
        <v>7.22</v>
      </c>
      <c r="G97" s="403"/>
      <c r="H97" s="403">
        <f>G97*(1+$I$2)</f>
        <v>0</v>
      </c>
      <c r="I97" s="405">
        <f t="shared" ref="I97" si="12">ROUND(F97*H97,2)</f>
        <v>0</v>
      </c>
      <c r="K97" s="126"/>
      <c r="L97" s="126"/>
      <c r="M97" s="126"/>
      <c r="N97" s="126"/>
      <c r="O97" s="126"/>
    </row>
    <row r="98" spans="1:15" s="141" customFormat="1" ht="21.75" customHeight="1" x14ac:dyDescent="0.2">
      <c r="A98" s="583" t="s">
        <v>611</v>
      </c>
      <c r="B98" s="583"/>
      <c r="C98" s="583"/>
      <c r="D98" s="583"/>
      <c r="E98" s="583"/>
      <c r="F98" s="583"/>
      <c r="G98" s="583"/>
      <c r="H98" s="583"/>
      <c r="I98" s="406">
        <f>SUM(I94:I97)</f>
        <v>0</v>
      </c>
      <c r="K98" s="242"/>
      <c r="L98" s="242"/>
      <c r="M98" s="242"/>
      <c r="N98" s="242"/>
      <c r="O98" s="242"/>
    </row>
    <row r="99" spans="1:15" s="141" customFormat="1" ht="6.75" customHeight="1" x14ac:dyDescent="0.2">
      <c r="A99" s="407"/>
      <c r="B99" s="408"/>
      <c r="C99" s="408"/>
      <c r="D99" s="409"/>
      <c r="E99" s="408"/>
      <c r="F99" s="410"/>
      <c r="G99" s="411"/>
      <c r="H99" s="431"/>
      <c r="I99" s="432"/>
      <c r="K99" s="242"/>
      <c r="L99" s="242"/>
      <c r="M99" s="242"/>
      <c r="N99" s="242"/>
      <c r="O99" s="242"/>
    </row>
    <row r="100" spans="1:15" s="262" customFormat="1" ht="15.75" customHeight="1" x14ac:dyDescent="0.2">
      <c r="A100" s="433" t="s">
        <v>203</v>
      </c>
      <c r="B100" s="434"/>
      <c r="C100" s="435"/>
      <c r="D100" s="447" t="s">
        <v>710</v>
      </c>
      <c r="E100" s="434"/>
      <c r="F100" s="436"/>
      <c r="G100" s="436"/>
      <c r="H100" s="437"/>
      <c r="I100" s="438"/>
      <c r="K100" s="242"/>
      <c r="L100" s="242"/>
      <c r="M100" s="242"/>
      <c r="N100" s="242"/>
      <c r="O100" s="242"/>
    </row>
    <row r="101" spans="1:15" s="126" customFormat="1" ht="30" customHeight="1" x14ac:dyDescent="0.2">
      <c r="A101" s="422" t="s">
        <v>208</v>
      </c>
      <c r="B101" s="505" t="s">
        <v>399</v>
      </c>
      <c r="C101" s="400" t="s">
        <v>644</v>
      </c>
      <c r="D101" s="401" t="s">
        <v>383</v>
      </c>
      <c r="E101" s="400" t="s">
        <v>225</v>
      </c>
      <c r="F101" s="403">
        <v>4.8600000000000003</v>
      </c>
      <c r="G101" s="403"/>
      <c r="H101" s="403">
        <f t="shared" ref="H101:H107" si="13">G101*(1+$I$2)</f>
        <v>0</v>
      </c>
      <c r="I101" s="405">
        <f t="shared" ref="I101:I107" si="14">ROUND(F101*H101,2)</f>
        <v>0</v>
      </c>
    </row>
    <row r="102" spans="1:15" s="129" customFormat="1" ht="26.25" customHeight="1" x14ac:dyDescent="0.2">
      <c r="A102" s="422" t="s">
        <v>479</v>
      </c>
      <c r="B102" s="505" t="s">
        <v>711</v>
      </c>
      <c r="C102" s="400" t="s">
        <v>644</v>
      </c>
      <c r="D102" s="401" t="s">
        <v>389</v>
      </c>
      <c r="E102" s="400" t="s">
        <v>114</v>
      </c>
      <c r="F102" s="403">
        <v>36.47</v>
      </c>
      <c r="G102" s="403"/>
      <c r="H102" s="403">
        <f t="shared" si="13"/>
        <v>0</v>
      </c>
      <c r="I102" s="405">
        <f t="shared" si="14"/>
        <v>0</v>
      </c>
      <c r="K102" s="126"/>
      <c r="L102" s="126"/>
      <c r="M102" s="126"/>
      <c r="N102" s="126"/>
      <c r="O102" s="126"/>
    </row>
    <row r="103" spans="1:15" s="126" customFormat="1" ht="30" customHeight="1" x14ac:dyDescent="0.2">
      <c r="A103" s="422" t="s">
        <v>480</v>
      </c>
      <c r="B103" s="505" t="s">
        <v>712</v>
      </c>
      <c r="C103" s="400" t="s">
        <v>644</v>
      </c>
      <c r="D103" s="401" t="s">
        <v>333</v>
      </c>
      <c r="E103" s="400" t="s">
        <v>27</v>
      </c>
      <c r="F103" s="403">
        <v>33.99</v>
      </c>
      <c r="G103" s="403"/>
      <c r="H103" s="403">
        <f t="shared" si="13"/>
        <v>0</v>
      </c>
      <c r="I103" s="405">
        <f t="shared" si="14"/>
        <v>0</v>
      </c>
    </row>
    <row r="104" spans="1:15" s="126" customFormat="1" ht="30" customHeight="1" x14ac:dyDescent="0.2">
      <c r="A104" s="422" t="s">
        <v>481</v>
      </c>
      <c r="B104" s="505" t="s">
        <v>713</v>
      </c>
      <c r="C104" s="400" t="s">
        <v>644</v>
      </c>
      <c r="D104" s="401" t="s">
        <v>249</v>
      </c>
      <c r="E104" s="400" t="s">
        <v>114</v>
      </c>
      <c r="F104" s="403">
        <v>35.11</v>
      </c>
      <c r="G104" s="403"/>
      <c r="H104" s="403">
        <f t="shared" si="13"/>
        <v>0</v>
      </c>
      <c r="I104" s="405">
        <f t="shared" si="14"/>
        <v>0</v>
      </c>
    </row>
    <row r="105" spans="1:15" s="141" customFormat="1" ht="26.25" customHeight="1" x14ac:dyDescent="0.2">
      <c r="A105" s="422" t="s">
        <v>482</v>
      </c>
      <c r="B105" s="505" t="s">
        <v>498</v>
      </c>
      <c r="C105" s="398" t="s">
        <v>379</v>
      </c>
      <c r="D105" s="401" t="s">
        <v>715</v>
      </c>
      <c r="E105" s="398" t="s">
        <v>114</v>
      </c>
      <c r="F105" s="403">
        <v>35.11</v>
      </c>
      <c r="G105" s="403"/>
      <c r="H105" s="403">
        <f t="shared" si="13"/>
        <v>0</v>
      </c>
      <c r="I105" s="405">
        <f t="shared" si="14"/>
        <v>0</v>
      </c>
      <c r="K105" s="126"/>
      <c r="L105" s="126"/>
      <c r="M105" s="126"/>
      <c r="N105" s="126"/>
      <c r="O105" s="126"/>
    </row>
    <row r="106" spans="1:15" s="141" customFormat="1" ht="25.5" x14ac:dyDescent="0.2">
      <c r="A106" s="422" t="s">
        <v>607</v>
      </c>
      <c r="B106" s="505" t="s">
        <v>483</v>
      </c>
      <c r="C106" s="398" t="s">
        <v>379</v>
      </c>
      <c r="D106" s="401" t="s">
        <v>714</v>
      </c>
      <c r="E106" s="400" t="s">
        <v>114</v>
      </c>
      <c r="F106" s="403">
        <v>2.84</v>
      </c>
      <c r="G106" s="403"/>
      <c r="H106" s="403">
        <f t="shared" si="13"/>
        <v>0</v>
      </c>
      <c r="I106" s="405">
        <f t="shared" si="14"/>
        <v>0</v>
      </c>
      <c r="K106" s="126"/>
      <c r="L106" s="126"/>
      <c r="M106" s="126"/>
      <c r="N106" s="126"/>
      <c r="O106" s="126"/>
    </row>
    <row r="107" spans="1:15" s="126" customFormat="1" ht="25.5" x14ac:dyDescent="0.2">
      <c r="A107" s="422" t="s">
        <v>608</v>
      </c>
      <c r="B107" s="398">
        <v>130308</v>
      </c>
      <c r="C107" s="400" t="s">
        <v>644</v>
      </c>
      <c r="D107" s="401" t="s">
        <v>411</v>
      </c>
      <c r="E107" s="400" t="s">
        <v>27</v>
      </c>
      <c r="F107" s="403">
        <v>1.6</v>
      </c>
      <c r="G107" s="403"/>
      <c r="H107" s="403">
        <f t="shared" si="13"/>
        <v>0</v>
      </c>
      <c r="I107" s="405">
        <f t="shared" si="14"/>
        <v>0</v>
      </c>
    </row>
    <row r="108" spans="1:15" ht="24.75" customHeight="1" x14ac:dyDescent="0.2">
      <c r="A108" s="583" t="s">
        <v>612</v>
      </c>
      <c r="B108" s="583"/>
      <c r="C108" s="583"/>
      <c r="D108" s="583"/>
      <c r="E108" s="583"/>
      <c r="F108" s="583"/>
      <c r="G108" s="583"/>
      <c r="H108" s="583"/>
      <c r="I108" s="406">
        <f>SUM(I101:I107)</f>
        <v>0</v>
      </c>
      <c r="K108" s="242"/>
      <c r="L108" s="242"/>
      <c r="M108" s="242"/>
      <c r="N108" s="242"/>
      <c r="O108" s="242"/>
    </row>
    <row r="109" spans="1:15" ht="6.75" customHeight="1" x14ac:dyDescent="0.2">
      <c r="A109" s="407"/>
      <c r="B109" s="408"/>
      <c r="C109" s="408"/>
      <c r="D109" s="409"/>
      <c r="E109" s="408"/>
      <c r="F109" s="410"/>
      <c r="G109" s="411"/>
      <c r="H109" s="431"/>
      <c r="I109" s="432"/>
      <c r="K109" s="242"/>
      <c r="L109" s="242"/>
      <c r="M109" s="242"/>
      <c r="N109" s="242"/>
      <c r="O109" s="242"/>
    </row>
    <row r="110" spans="1:15" s="263" customFormat="1" ht="18" customHeight="1" x14ac:dyDescent="0.2">
      <c r="A110" s="433" t="s">
        <v>487</v>
      </c>
      <c r="B110" s="434"/>
      <c r="C110" s="435"/>
      <c r="D110" s="447" t="s">
        <v>716</v>
      </c>
      <c r="E110" s="434"/>
      <c r="F110" s="436"/>
      <c r="G110" s="436"/>
      <c r="H110" s="437"/>
      <c r="I110" s="438"/>
      <c r="K110" s="242"/>
      <c r="L110" s="242"/>
      <c r="M110" s="242"/>
      <c r="N110" s="242"/>
      <c r="O110" s="242"/>
    </row>
    <row r="111" spans="1:15" s="126" customFormat="1" x14ac:dyDescent="0.2">
      <c r="A111" s="422" t="s">
        <v>488</v>
      </c>
      <c r="B111" s="398">
        <v>95675</v>
      </c>
      <c r="C111" s="398" t="s">
        <v>379</v>
      </c>
      <c r="D111" s="401" t="s">
        <v>800</v>
      </c>
      <c r="E111" s="448" t="s">
        <v>410</v>
      </c>
      <c r="F111" s="403">
        <v>1</v>
      </c>
      <c r="G111" s="403"/>
      <c r="H111" s="403">
        <f t="shared" ref="H111:H128" si="15">G111*(1+$I$2)</f>
        <v>0</v>
      </c>
      <c r="I111" s="405">
        <f t="shared" ref="I111:I128" si="16">ROUND(F111*H111,2)</f>
        <v>0</v>
      </c>
      <c r="J111" s="130"/>
    </row>
    <row r="112" spans="1:15" s="126" customFormat="1" ht="30" customHeight="1" x14ac:dyDescent="0.2">
      <c r="A112" s="422" t="s">
        <v>573</v>
      </c>
      <c r="B112" s="398">
        <v>170547</v>
      </c>
      <c r="C112" s="400" t="s">
        <v>644</v>
      </c>
      <c r="D112" s="401" t="s">
        <v>370</v>
      </c>
      <c r="E112" s="448" t="s">
        <v>410</v>
      </c>
      <c r="F112" s="403">
        <v>1</v>
      </c>
      <c r="G112" s="403"/>
      <c r="H112" s="403">
        <f t="shared" si="15"/>
        <v>0</v>
      </c>
      <c r="I112" s="405">
        <f t="shared" si="16"/>
        <v>0</v>
      </c>
    </row>
    <row r="113" spans="1:15" s="130" customFormat="1" ht="25.5" x14ac:dyDescent="0.2">
      <c r="A113" s="422" t="s">
        <v>574</v>
      </c>
      <c r="B113" s="398">
        <v>142119</v>
      </c>
      <c r="C113" s="400" t="s">
        <v>644</v>
      </c>
      <c r="D113" s="508" t="s">
        <v>216</v>
      </c>
      <c r="E113" s="448" t="s">
        <v>410</v>
      </c>
      <c r="F113" s="403">
        <v>1</v>
      </c>
      <c r="G113" s="403"/>
      <c r="H113" s="403">
        <f t="shared" si="15"/>
        <v>0</v>
      </c>
      <c r="I113" s="405">
        <f t="shared" si="16"/>
        <v>0</v>
      </c>
      <c r="K113" s="126"/>
      <c r="L113" s="126"/>
      <c r="M113" s="126"/>
      <c r="N113" s="126"/>
      <c r="O113" s="126"/>
    </row>
    <row r="114" spans="1:15" s="126" customFormat="1" ht="25.5" x14ac:dyDescent="0.2">
      <c r="A114" s="422" t="s">
        <v>575</v>
      </c>
      <c r="B114" s="398">
        <v>140701</v>
      </c>
      <c r="C114" s="400" t="s">
        <v>644</v>
      </c>
      <c r="D114" s="508" t="s">
        <v>217</v>
      </c>
      <c r="E114" s="448" t="s">
        <v>410</v>
      </c>
      <c r="F114" s="403">
        <v>6</v>
      </c>
      <c r="G114" s="403"/>
      <c r="H114" s="403">
        <f t="shared" si="15"/>
        <v>0</v>
      </c>
      <c r="I114" s="405">
        <f t="shared" si="16"/>
        <v>0</v>
      </c>
    </row>
    <row r="115" spans="1:15" s="126" customFormat="1" ht="25.5" x14ac:dyDescent="0.2">
      <c r="A115" s="422" t="s">
        <v>576</v>
      </c>
      <c r="B115" s="398">
        <v>140702</v>
      </c>
      <c r="C115" s="400" t="s">
        <v>644</v>
      </c>
      <c r="D115" s="508" t="s">
        <v>218</v>
      </c>
      <c r="E115" s="448" t="s">
        <v>410</v>
      </c>
      <c r="F115" s="403">
        <v>1</v>
      </c>
      <c r="G115" s="403"/>
      <c r="H115" s="403">
        <f t="shared" si="15"/>
        <v>0</v>
      </c>
      <c r="I115" s="405">
        <f t="shared" si="16"/>
        <v>0</v>
      </c>
    </row>
    <row r="116" spans="1:15" s="126" customFormat="1" ht="25.5" x14ac:dyDescent="0.2">
      <c r="A116" s="422" t="s">
        <v>577</v>
      </c>
      <c r="B116" s="398">
        <v>140705</v>
      </c>
      <c r="C116" s="400" t="s">
        <v>644</v>
      </c>
      <c r="D116" s="508" t="s">
        <v>219</v>
      </c>
      <c r="E116" s="448" t="s">
        <v>410</v>
      </c>
      <c r="F116" s="403">
        <v>1</v>
      </c>
      <c r="G116" s="403"/>
      <c r="H116" s="403">
        <f t="shared" si="15"/>
        <v>0</v>
      </c>
      <c r="I116" s="405">
        <f t="shared" si="16"/>
        <v>0</v>
      </c>
    </row>
    <row r="117" spans="1:15" s="126" customFormat="1" ht="25.5" x14ac:dyDescent="0.2">
      <c r="A117" s="422" t="s">
        <v>578</v>
      </c>
      <c r="B117" s="398">
        <v>140706</v>
      </c>
      <c r="C117" s="400" t="s">
        <v>644</v>
      </c>
      <c r="D117" s="508" t="s">
        <v>220</v>
      </c>
      <c r="E117" s="448" t="s">
        <v>410</v>
      </c>
      <c r="F117" s="403">
        <v>5</v>
      </c>
      <c r="G117" s="403"/>
      <c r="H117" s="403">
        <f t="shared" si="15"/>
        <v>0</v>
      </c>
      <c r="I117" s="405">
        <f t="shared" si="16"/>
        <v>0</v>
      </c>
    </row>
    <row r="118" spans="1:15" s="126" customFormat="1" ht="25.5" x14ac:dyDescent="0.2">
      <c r="A118" s="422" t="s">
        <v>717</v>
      </c>
      <c r="B118" s="398">
        <v>140707</v>
      </c>
      <c r="C118" s="400" t="s">
        <v>644</v>
      </c>
      <c r="D118" s="401" t="s">
        <v>257</v>
      </c>
      <c r="E118" s="448" t="s">
        <v>410</v>
      </c>
      <c r="F118" s="403">
        <v>3</v>
      </c>
      <c r="G118" s="403"/>
      <c r="H118" s="403">
        <f t="shared" si="15"/>
        <v>0</v>
      </c>
      <c r="I118" s="405">
        <f t="shared" si="16"/>
        <v>0</v>
      </c>
    </row>
    <row r="119" spans="1:15" s="126" customFormat="1" ht="25.5" x14ac:dyDescent="0.2">
      <c r="A119" s="422" t="s">
        <v>718</v>
      </c>
      <c r="B119" s="398">
        <v>140708</v>
      </c>
      <c r="C119" s="400" t="s">
        <v>644</v>
      </c>
      <c r="D119" s="401" t="s">
        <v>221</v>
      </c>
      <c r="E119" s="448" t="s">
        <v>410</v>
      </c>
      <c r="F119" s="403">
        <v>1</v>
      </c>
      <c r="G119" s="403"/>
      <c r="H119" s="403">
        <f t="shared" si="15"/>
        <v>0</v>
      </c>
      <c r="I119" s="405">
        <f t="shared" si="16"/>
        <v>0</v>
      </c>
    </row>
    <row r="120" spans="1:15" s="129" customFormat="1" ht="25.5" x14ac:dyDescent="0.2">
      <c r="A120" s="422" t="s">
        <v>719</v>
      </c>
      <c r="B120" s="398">
        <v>170322</v>
      </c>
      <c r="C120" s="400" t="s">
        <v>644</v>
      </c>
      <c r="D120" s="401" t="s">
        <v>476</v>
      </c>
      <c r="E120" s="448" t="s">
        <v>410</v>
      </c>
      <c r="F120" s="403">
        <v>1</v>
      </c>
      <c r="G120" s="403"/>
      <c r="H120" s="403">
        <f t="shared" si="15"/>
        <v>0</v>
      </c>
      <c r="I120" s="405">
        <f t="shared" si="16"/>
        <v>0</v>
      </c>
      <c r="K120" s="126"/>
      <c r="L120" s="126"/>
      <c r="M120" s="126"/>
      <c r="N120" s="126"/>
      <c r="O120" s="126"/>
    </row>
    <row r="121" spans="1:15" s="129" customFormat="1" ht="25.5" x14ac:dyDescent="0.2">
      <c r="A121" s="422" t="s">
        <v>720</v>
      </c>
      <c r="B121" s="398">
        <v>170321</v>
      </c>
      <c r="C121" s="400" t="s">
        <v>644</v>
      </c>
      <c r="D121" s="401" t="s">
        <v>473</v>
      </c>
      <c r="E121" s="448" t="s">
        <v>410</v>
      </c>
      <c r="F121" s="403">
        <v>1</v>
      </c>
      <c r="G121" s="403"/>
      <c r="H121" s="403">
        <f t="shared" si="15"/>
        <v>0</v>
      </c>
      <c r="I121" s="405">
        <f t="shared" si="16"/>
        <v>0</v>
      </c>
      <c r="K121" s="126"/>
      <c r="L121" s="126"/>
      <c r="M121" s="126"/>
      <c r="N121" s="126"/>
      <c r="O121" s="126"/>
    </row>
    <row r="122" spans="1:15" s="129" customFormat="1" ht="25.5" x14ac:dyDescent="0.2">
      <c r="A122" s="422" t="s">
        <v>721</v>
      </c>
      <c r="B122" s="398">
        <v>170329</v>
      </c>
      <c r="C122" s="400" t="s">
        <v>644</v>
      </c>
      <c r="D122" s="401" t="s">
        <v>474</v>
      </c>
      <c r="E122" s="448" t="s">
        <v>410</v>
      </c>
      <c r="F122" s="403">
        <v>1</v>
      </c>
      <c r="G122" s="403"/>
      <c r="H122" s="403">
        <f t="shared" si="15"/>
        <v>0</v>
      </c>
      <c r="I122" s="405">
        <f t="shared" si="16"/>
        <v>0</v>
      </c>
      <c r="K122" s="126"/>
      <c r="L122" s="126"/>
      <c r="M122" s="126"/>
      <c r="N122" s="126"/>
      <c r="O122" s="126"/>
    </row>
    <row r="123" spans="1:15" s="129" customFormat="1" ht="25.5" x14ac:dyDescent="0.2">
      <c r="A123" s="422" t="s">
        <v>722</v>
      </c>
      <c r="B123" s="398">
        <v>141529</v>
      </c>
      <c r="C123" s="400" t="s">
        <v>644</v>
      </c>
      <c r="D123" s="401" t="s">
        <v>475</v>
      </c>
      <c r="E123" s="448" t="s">
        <v>410</v>
      </c>
      <c r="F123" s="403">
        <v>2</v>
      </c>
      <c r="G123" s="403"/>
      <c r="H123" s="403">
        <f t="shared" si="15"/>
        <v>0</v>
      </c>
      <c r="I123" s="405">
        <f t="shared" si="16"/>
        <v>0</v>
      </c>
      <c r="K123" s="126"/>
      <c r="L123" s="126"/>
      <c r="M123" s="126"/>
      <c r="N123" s="126"/>
      <c r="O123" s="126"/>
    </row>
    <row r="124" spans="1:15" s="129" customFormat="1" ht="30" customHeight="1" x14ac:dyDescent="0.2">
      <c r="A124" s="422" t="s">
        <v>723</v>
      </c>
      <c r="B124" s="398">
        <v>141522</v>
      </c>
      <c r="C124" s="400" t="s">
        <v>644</v>
      </c>
      <c r="D124" s="401" t="s">
        <v>472</v>
      </c>
      <c r="E124" s="448" t="s">
        <v>410</v>
      </c>
      <c r="F124" s="403">
        <v>2</v>
      </c>
      <c r="G124" s="403"/>
      <c r="H124" s="403">
        <f t="shared" si="15"/>
        <v>0</v>
      </c>
      <c r="I124" s="405">
        <f t="shared" si="16"/>
        <v>0</v>
      </c>
      <c r="K124" s="126"/>
      <c r="L124" s="126"/>
      <c r="M124" s="126"/>
      <c r="N124" s="126"/>
      <c r="O124" s="126"/>
    </row>
    <row r="125" spans="1:15" s="129" customFormat="1" ht="30" customHeight="1" x14ac:dyDescent="0.2">
      <c r="A125" s="422" t="s">
        <v>724</v>
      </c>
      <c r="B125" s="398">
        <v>98102</v>
      </c>
      <c r="C125" s="398" t="s">
        <v>379</v>
      </c>
      <c r="D125" s="401" t="s">
        <v>789</v>
      </c>
      <c r="E125" s="448" t="s">
        <v>410</v>
      </c>
      <c r="F125" s="403">
        <v>1</v>
      </c>
      <c r="G125" s="403"/>
      <c r="H125" s="403">
        <f t="shared" si="15"/>
        <v>0</v>
      </c>
      <c r="I125" s="405">
        <f t="shared" si="16"/>
        <v>0</v>
      </c>
      <c r="K125" s="126"/>
      <c r="L125" s="126"/>
      <c r="M125" s="126"/>
      <c r="N125" s="126"/>
      <c r="O125" s="126"/>
    </row>
    <row r="126" spans="1:15" s="129" customFormat="1" ht="30" customHeight="1" x14ac:dyDescent="0.2">
      <c r="A126" s="422" t="s">
        <v>725</v>
      </c>
      <c r="B126" s="398">
        <v>97895</v>
      </c>
      <c r="C126" s="398" t="s">
        <v>379</v>
      </c>
      <c r="D126" s="401" t="s">
        <v>790</v>
      </c>
      <c r="E126" s="448" t="s">
        <v>410</v>
      </c>
      <c r="F126" s="403">
        <v>1</v>
      </c>
      <c r="G126" s="403"/>
      <c r="H126" s="403">
        <f t="shared" si="15"/>
        <v>0</v>
      </c>
      <c r="I126" s="405">
        <f t="shared" si="16"/>
        <v>0</v>
      </c>
      <c r="K126" s="126"/>
      <c r="L126" s="126"/>
      <c r="M126" s="126"/>
      <c r="N126" s="126"/>
      <c r="O126" s="126"/>
    </row>
    <row r="127" spans="1:15" s="129" customFormat="1" ht="30" customHeight="1" x14ac:dyDescent="0.2">
      <c r="A127" s="422" t="s">
        <v>726</v>
      </c>
      <c r="B127" s="398">
        <v>140906</v>
      </c>
      <c r="C127" s="400" t="s">
        <v>644</v>
      </c>
      <c r="D127" s="401" t="s">
        <v>267</v>
      </c>
      <c r="E127" s="400" t="s">
        <v>27</v>
      </c>
      <c r="F127" s="403">
        <v>0.3</v>
      </c>
      <c r="G127" s="403"/>
      <c r="H127" s="403">
        <f t="shared" si="15"/>
        <v>0</v>
      </c>
      <c r="I127" s="405">
        <f t="shared" si="16"/>
        <v>0</v>
      </c>
      <c r="K127" s="126"/>
      <c r="L127" s="126"/>
      <c r="M127" s="126"/>
      <c r="N127" s="126"/>
      <c r="O127" s="126"/>
    </row>
    <row r="128" spans="1:15" s="129" customFormat="1" ht="30" customHeight="1" x14ac:dyDescent="0.2">
      <c r="A128" s="422" t="s">
        <v>727</v>
      </c>
      <c r="B128" s="398">
        <v>140903</v>
      </c>
      <c r="C128" s="400" t="s">
        <v>644</v>
      </c>
      <c r="D128" s="401" t="s">
        <v>268</v>
      </c>
      <c r="E128" s="400" t="s">
        <v>27</v>
      </c>
      <c r="F128" s="403">
        <v>20</v>
      </c>
      <c r="G128" s="403"/>
      <c r="H128" s="403">
        <f t="shared" si="15"/>
        <v>0</v>
      </c>
      <c r="I128" s="405">
        <f t="shared" si="16"/>
        <v>0</v>
      </c>
      <c r="K128" s="126"/>
      <c r="L128" s="126"/>
      <c r="M128" s="126"/>
      <c r="N128" s="126"/>
      <c r="O128" s="126"/>
    </row>
    <row r="129" spans="1:15" s="129" customFormat="1" ht="21" customHeight="1" x14ac:dyDescent="0.2">
      <c r="A129" s="583" t="s">
        <v>613</v>
      </c>
      <c r="B129" s="583"/>
      <c r="C129" s="583"/>
      <c r="D129" s="583"/>
      <c r="E129" s="583"/>
      <c r="F129" s="583"/>
      <c r="G129" s="583"/>
      <c r="H129" s="583"/>
      <c r="I129" s="406">
        <f>SUM(I111:I128)</f>
        <v>0</v>
      </c>
      <c r="K129" s="242"/>
      <c r="L129" s="242"/>
      <c r="M129" s="242"/>
      <c r="N129" s="242"/>
      <c r="O129" s="242"/>
    </row>
    <row r="130" spans="1:15" s="129" customFormat="1" ht="6" customHeight="1" x14ac:dyDescent="0.2">
      <c r="A130" s="407"/>
      <c r="B130" s="408"/>
      <c r="C130" s="408"/>
      <c r="D130" s="409"/>
      <c r="E130" s="408"/>
      <c r="F130" s="410"/>
      <c r="G130" s="411"/>
      <c r="H130" s="431"/>
      <c r="I130" s="432"/>
      <c r="K130" s="242"/>
      <c r="L130" s="242"/>
      <c r="M130" s="242"/>
      <c r="N130" s="242"/>
      <c r="O130" s="242"/>
    </row>
    <row r="131" spans="1:15" s="264" customFormat="1" ht="18" customHeight="1" x14ac:dyDescent="0.2">
      <c r="A131" s="433" t="s">
        <v>526</v>
      </c>
      <c r="B131" s="434"/>
      <c r="C131" s="435"/>
      <c r="D131" s="447" t="s">
        <v>728</v>
      </c>
      <c r="E131" s="434"/>
      <c r="F131" s="436"/>
      <c r="G131" s="436"/>
      <c r="H131" s="437"/>
      <c r="I131" s="438"/>
      <c r="J131" s="129"/>
      <c r="K131" s="242"/>
      <c r="L131" s="242"/>
      <c r="M131" s="242"/>
      <c r="N131" s="242"/>
      <c r="O131" s="242"/>
    </row>
    <row r="132" spans="1:15" s="129" customFormat="1" ht="30" customHeight="1" x14ac:dyDescent="0.2">
      <c r="A132" s="422" t="s">
        <v>527</v>
      </c>
      <c r="B132" s="398">
        <v>86888</v>
      </c>
      <c r="C132" s="398" t="s">
        <v>379</v>
      </c>
      <c r="D132" s="401" t="s">
        <v>791</v>
      </c>
      <c r="E132" s="400" t="s">
        <v>410</v>
      </c>
      <c r="F132" s="403">
        <v>1</v>
      </c>
      <c r="G132" s="403"/>
      <c r="H132" s="403">
        <f t="shared" ref="H132:H139" si="17">G132*(1+$I$2)</f>
        <v>0</v>
      </c>
      <c r="I132" s="405">
        <f t="shared" ref="I132:I139" si="18">ROUND(F132*H132,2)</f>
        <v>0</v>
      </c>
      <c r="K132" s="126"/>
      <c r="L132" s="126"/>
      <c r="M132" s="126"/>
      <c r="N132" s="126"/>
      <c r="O132" s="126"/>
    </row>
    <row r="133" spans="1:15" s="129" customFormat="1" ht="51" x14ac:dyDescent="0.2">
      <c r="A133" s="422" t="s">
        <v>614</v>
      </c>
      <c r="B133" s="398">
        <v>86943</v>
      </c>
      <c r="C133" s="398" t="s">
        <v>379</v>
      </c>
      <c r="D133" s="401" t="s">
        <v>798</v>
      </c>
      <c r="E133" s="400" t="s">
        <v>410</v>
      </c>
      <c r="F133" s="403">
        <v>1</v>
      </c>
      <c r="G133" s="403"/>
      <c r="H133" s="403">
        <f t="shared" si="17"/>
        <v>0</v>
      </c>
      <c r="I133" s="405">
        <f t="shared" si="18"/>
        <v>0</v>
      </c>
      <c r="K133" s="126"/>
      <c r="L133" s="126"/>
      <c r="M133" s="126"/>
      <c r="N133" s="126"/>
      <c r="O133" s="126"/>
    </row>
    <row r="134" spans="1:15" s="129" customFormat="1" ht="51" x14ac:dyDescent="0.2">
      <c r="A134" s="422" t="s">
        <v>615</v>
      </c>
      <c r="B134" s="398">
        <v>86933</v>
      </c>
      <c r="C134" s="398" t="s">
        <v>379</v>
      </c>
      <c r="D134" s="401" t="s">
        <v>792</v>
      </c>
      <c r="E134" s="400" t="s">
        <v>410</v>
      </c>
      <c r="F134" s="403">
        <v>1</v>
      </c>
      <c r="G134" s="403"/>
      <c r="H134" s="403">
        <f t="shared" si="17"/>
        <v>0</v>
      </c>
      <c r="I134" s="405">
        <f t="shared" si="18"/>
        <v>0</v>
      </c>
      <c r="K134" s="126"/>
      <c r="L134" s="126"/>
      <c r="M134" s="126"/>
      <c r="N134" s="126"/>
      <c r="O134" s="126"/>
    </row>
    <row r="135" spans="1:15" s="126" customFormat="1" ht="25.5" x14ac:dyDescent="0.2">
      <c r="A135" s="422" t="s">
        <v>616</v>
      </c>
      <c r="B135" s="398">
        <v>100860</v>
      </c>
      <c r="C135" s="398" t="s">
        <v>379</v>
      </c>
      <c r="D135" s="401" t="s">
        <v>793</v>
      </c>
      <c r="E135" s="400" t="s">
        <v>410</v>
      </c>
      <c r="F135" s="403">
        <v>1</v>
      </c>
      <c r="G135" s="403"/>
      <c r="H135" s="403">
        <f t="shared" si="17"/>
        <v>0</v>
      </c>
      <c r="I135" s="405">
        <f t="shared" si="18"/>
        <v>0</v>
      </c>
      <c r="J135" s="129"/>
    </row>
    <row r="136" spans="1:15" s="126" customFormat="1" ht="25.5" x14ac:dyDescent="0.2">
      <c r="A136" s="422" t="s">
        <v>617</v>
      </c>
      <c r="B136" s="398">
        <v>86877</v>
      </c>
      <c r="C136" s="398" t="s">
        <v>379</v>
      </c>
      <c r="D136" s="401" t="s">
        <v>794</v>
      </c>
      <c r="E136" s="400" t="s">
        <v>410</v>
      </c>
      <c r="F136" s="403">
        <v>1</v>
      </c>
      <c r="G136" s="403"/>
      <c r="H136" s="403">
        <f t="shared" si="17"/>
        <v>0</v>
      </c>
      <c r="I136" s="405">
        <f t="shared" si="18"/>
        <v>0</v>
      </c>
      <c r="J136" s="129"/>
    </row>
    <row r="137" spans="1:15" s="126" customFormat="1" x14ac:dyDescent="0.2">
      <c r="A137" s="422" t="s">
        <v>618</v>
      </c>
      <c r="B137" s="398">
        <v>86882</v>
      </c>
      <c r="C137" s="398" t="s">
        <v>379</v>
      </c>
      <c r="D137" s="401" t="s">
        <v>795</v>
      </c>
      <c r="E137" s="400" t="s">
        <v>410</v>
      </c>
      <c r="F137" s="403">
        <v>1</v>
      </c>
      <c r="G137" s="403"/>
      <c r="H137" s="403">
        <f t="shared" si="17"/>
        <v>0</v>
      </c>
      <c r="I137" s="405">
        <f t="shared" si="18"/>
        <v>0</v>
      </c>
      <c r="J137" s="129"/>
    </row>
    <row r="138" spans="1:15" s="126" customFormat="1" ht="25.5" x14ac:dyDescent="0.2">
      <c r="A138" s="422" t="s">
        <v>619</v>
      </c>
      <c r="B138" s="398">
        <v>86913</v>
      </c>
      <c r="C138" s="398" t="s">
        <v>379</v>
      </c>
      <c r="D138" s="401" t="s">
        <v>796</v>
      </c>
      <c r="E138" s="400" t="s">
        <v>410</v>
      </c>
      <c r="F138" s="403">
        <v>1</v>
      </c>
      <c r="G138" s="403"/>
      <c r="H138" s="403">
        <f t="shared" si="17"/>
        <v>0</v>
      </c>
      <c r="I138" s="405">
        <f t="shared" si="18"/>
        <v>0</v>
      </c>
      <c r="J138" s="129"/>
    </row>
    <row r="139" spans="1:15" s="126" customFormat="1" ht="25.5" x14ac:dyDescent="0.2">
      <c r="A139" s="422" t="s">
        <v>729</v>
      </c>
      <c r="B139" s="398">
        <v>86876</v>
      </c>
      <c r="C139" s="398" t="s">
        <v>379</v>
      </c>
      <c r="D139" s="401" t="s">
        <v>797</v>
      </c>
      <c r="E139" s="400" t="s">
        <v>410</v>
      </c>
      <c r="F139" s="403">
        <v>1</v>
      </c>
      <c r="G139" s="403"/>
      <c r="H139" s="403">
        <f t="shared" si="17"/>
        <v>0</v>
      </c>
      <c r="I139" s="405">
        <f t="shared" si="18"/>
        <v>0</v>
      </c>
      <c r="J139" s="129"/>
    </row>
    <row r="140" spans="1:15" s="126" customFormat="1" ht="19.5" customHeight="1" x14ac:dyDescent="0.2">
      <c r="A140" s="583" t="s">
        <v>620</v>
      </c>
      <c r="B140" s="583"/>
      <c r="C140" s="583"/>
      <c r="D140" s="583"/>
      <c r="E140" s="583"/>
      <c r="F140" s="583"/>
      <c r="G140" s="583"/>
      <c r="H140" s="583"/>
      <c r="I140" s="406">
        <f>SUM(I132:I139)</f>
        <v>0</v>
      </c>
      <c r="J140" s="129"/>
      <c r="K140" s="242"/>
      <c r="L140" s="242"/>
      <c r="M140" s="242"/>
      <c r="N140" s="242"/>
      <c r="O140" s="242"/>
    </row>
    <row r="141" spans="1:15" s="126" customFormat="1" ht="5.25" customHeight="1" x14ac:dyDescent="0.2">
      <c r="A141" s="407"/>
      <c r="B141" s="408"/>
      <c r="C141" s="408"/>
      <c r="D141" s="409"/>
      <c r="E141" s="408"/>
      <c r="F141" s="410"/>
      <c r="G141" s="411"/>
      <c r="H141" s="431"/>
      <c r="I141" s="432"/>
      <c r="K141" s="242"/>
      <c r="L141" s="242"/>
      <c r="M141" s="242"/>
      <c r="N141" s="242"/>
      <c r="O141" s="242"/>
    </row>
    <row r="142" spans="1:15" s="264" customFormat="1" ht="19.5" customHeight="1" x14ac:dyDescent="0.2">
      <c r="A142" s="433" t="s">
        <v>528</v>
      </c>
      <c r="B142" s="434"/>
      <c r="C142" s="435"/>
      <c r="D142" s="447" t="s">
        <v>277</v>
      </c>
      <c r="E142" s="434"/>
      <c r="F142" s="436"/>
      <c r="G142" s="436"/>
      <c r="H142" s="437"/>
      <c r="I142" s="438"/>
      <c r="K142" s="242"/>
      <c r="L142" s="242"/>
      <c r="M142" s="242"/>
      <c r="N142" s="242"/>
      <c r="O142" s="242"/>
    </row>
    <row r="143" spans="1:15" s="126" customFormat="1" ht="30" customHeight="1" x14ac:dyDescent="0.2">
      <c r="A143" s="422" t="s">
        <v>529</v>
      </c>
      <c r="B143" s="398">
        <v>180115</v>
      </c>
      <c r="C143" s="400" t="s">
        <v>644</v>
      </c>
      <c r="D143" s="401" t="s">
        <v>416</v>
      </c>
      <c r="E143" s="402" t="s">
        <v>410</v>
      </c>
      <c r="F143" s="402">
        <v>6</v>
      </c>
      <c r="G143" s="403"/>
      <c r="H143" s="403">
        <f t="shared" ref="H143:H152" si="19">G143*(1+$I$2)</f>
        <v>0</v>
      </c>
      <c r="I143" s="405">
        <f t="shared" ref="I143:I152" si="20">ROUND(F143*H143,2)</f>
        <v>0</v>
      </c>
    </row>
    <row r="144" spans="1:15" s="126" customFormat="1" ht="30" customHeight="1" x14ac:dyDescent="0.2">
      <c r="A144" s="422" t="s">
        <v>730</v>
      </c>
      <c r="B144" s="398">
        <v>180201</v>
      </c>
      <c r="C144" s="400" t="s">
        <v>644</v>
      </c>
      <c r="D144" s="401" t="s">
        <v>419</v>
      </c>
      <c r="E144" s="402" t="s">
        <v>410</v>
      </c>
      <c r="F144" s="402">
        <v>5</v>
      </c>
      <c r="G144" s="403"/>
      <c r="H144" s="403">
        <f t="shared" si="19"/>
        <v>0</v>
      </c>
      <c r="I144" s="405">
        <f t="shared" si="20"/>
        <v>0</v>
      </c>
    </row>
    <row r="145" spans="1:15" s="126" customFormat="1" ht="30" customHeight="1" x14ac:dyDescent="0.2">
      <c r="A145" s="422" t="s">
        <v>731</v>
      </c>
      <c r="B145" s="398">
        <v>180207</v>
      </c>
      <c r="C145" s="400" t="s">
        <v>644</v>
      </c>
      <c r="D145" s="401" t="s">
        <v>417</v>
      </c>
      <c r="E145" s="402" t="s">
        <v>410</v>
      </c>
      <c r="F145" s="402">
        <v>4</v>
      </c>
      <c r="G145" s="403"/>
      <c r="H145" s="403">
        <f t="shared" si="19"/>
        <v>0</v>
      </c>
      <c r="I145" s="405">
        <f t="shared" si="20"/>
        <v>0</v>
      </c>
    </row>
    <row r="146" spans="1:15" s="126" customFormat="1" ht="30" customHeight="1" x14ac:dyDescent="0.2">
      <c r="A146" s="422" t="s">
        <v>732</v>
      </c>
      <c r="B146" s="398">
        <v>180204</v>
      </c>
      <c r="C146" s="400" t="s">
        <v>644</v>
      </c>
      <c r="D146" s="401" t="s">
        <v>418</v>
      </c>
      <c r="E146" s="402" t="s">
        <v>410</v>
      </c>
      <c r="F146" s="402">
        <v>2</v>
      </c>
      <c r="G146" s="403"/>
      <c r="H146" s="403">
        <f t="shared" si="19"/>
        <v>0</v>
      </c>
      <c r="I146" s="405">
        <f t="shared" si="20"/>
        <v>0</v>
      </c>
    </row>
    <row r="147" spans="1:15" s="126" customFormat="1" ht="30" customHeight="1" x14ac:dyDescent="0.2">
      <c r="A147" s="422" t="s">
        <v>733</v>
      </c>
      <c r="B147" s="398">
        <v>93654</v>
      </c>
      <c r="C147" s="398" t="s">
        <v>379</v>
      </c>
      <c r="D147" s="401" t="s">
        <v>877</v>
      </c>
      <c r="E147" s="402" t="s">
        <v>410</v>
      </c>
      <c r="F147" s="402">
        <v>1</v>
      </c>
      <c r="G147" s="403"/>
      <c r="H147" s="403">
        <f t="shared" si="19"/>
        <v>0</v>
      </c>
      <c r="I147" s="405">
        <f t="shared" si="20"/>
        <v>0</v>
      </c>
    </row>
    <row r="148" spans="1:15" s="126" customFormat="1" ht="30" customHeight="1" x14ac:dyDescent="0.2">
      <c r="A148" s="422" t="s">
        <v>734</v>
      </c>
      <c r="B148" s="398">
        <v>93655</v>
      </c>
      <c r="C148" s="398" t="s">
        <v>379</v>
      </c>
      <c r="D148" s="401" t="s">
        <v>878</v>
      </c>
      <c r="E148" s="402" t="s">
        <v>410</v>
      </c>
      <c r="F148" s="402">
        <v>1</v>
      </c>
      <c r="G148" s="403"/>
      <c r="H148" s="403">
        <f t="shared" si="19"/>
        <v>0</v>
      </c>
      <c r="I148" s="405">
        <f t="shared" si="20"/>
        <v>0</v>
      </c>
    </row>
    <row r="149" spans="1:15" s="126" customFormat="1" ht="30" customHeight="1" x14ac:dyDescent="0.2">
      <c r="A149" s="422" t="s">
        <v>735</v>
      </c>
      <c r="B149" s="398">
        <v>93656</v>
      </c>
      <c r="C149" s="398" t="s">
        <v>379</v>
      </c>
      <c r="D149" s="401" t="s">
        <v>879</v>
      </c>
      <c r="E149" s="402" t="s">
        <v>410</v>
      </c>
      <c r="F149" s="402">
        <v>1</v>
      </c>
      <c r="G149" s="403"/>
      <c r="H149" s="403">
        <f t="shared" si="19"/>
        <v>0</v>
      </c>
      <c r="I149" s="405">
        <f t="shared" si="20"/>
        <v>0</v>
      </c>
    </row>
    <row r="150" spans="1:15" s="126" customFormat="1" ht="30" customHeight="1" x14ac:dyDescent="0.2">
      <c r="A150" s="422" t="s">
        <v>736</v>
      </c>
      <c r="B150" s="398">
        <v>93663</v>
      </c>
      <c r="C150" s="398" t="s">
        <v>379</v>
      </c>
      <c r="D150" s="401" t="s">
        <v>880</v>
      </c>
      <c r="E150" s="402" t="s">
        <v>410</v>
      </c>
      <c r="F150" s="402">
        <v>1</v>
      </c>
      <c r="G150" s="403"/>
      <c r="H150" s="403">
        <f t="shared" si="19"/>
        <v>0</v>
      </c>
      <c r="I150" s="405">
        <f t="shared" si="20"/>
        <v>0</v>
      </c>
    </row>
    <row r="151" spans="1:15" s="126" customFormat="1" ht="30" customHeight="1" x14ac:dyDescent="0.2">
      <c r="A151" s="422" t="s">
        <v>737</v>
      </c>
      <c r="B151" s="398">
        <v>151308</v>
      </c>
      <c r="C151" s="400" t="s">
        <v>644</v>
      </c>
      <c r="D151" s="401" t="s">
        <v>499</v>
      </c>
      <c r="E151" s="402" t="s">
        <v>410</v>
      </c>
      <c r="F151" s="402">
        <v>1</v>
      </c>
      <c r="G151" s="403"/>
      <c r="H151" s="403">
        <f t="shared" si="19"/>
        <v>0</v>
      </c>
      <c r="I151" s="405">
        <f t="shared" si="20"/>
        <v>0</v>
      </c>
    </row>
    <row r="152" spans="1:15" s="126" customFormat="1" ht="30" customHeight="1" x14ac:dyDescent="0.2">
      <c r="A152" s="422" t="s">
        <v>738</v>
      </c>
      <c r="B152" s="398">
        <v>150306</v>
      </c>
      <c r="C152" s="400" t="s">
        <v>644</v>
      </c>
      <c r="D152" s="401" t="s">
        <v>523</v>
      </c>
      <c r="E152" s="402" t="s">
        <v>410</v>
      </c>
      <c r="F152" s="402">
        <v>1</v>
      </c>
      <c r="G152" s="403"/>
      <c r="H152" s="403">
        <f t="shared" si="19"/>
        <v>0</v>
      </c>
      <c r="I152" s="405">
        <f t="shared" si="20"/>
        <v>0</v>
      </c>
    </row>
    <row r="153" spans="1:15" ht="23.25" customHeight="1" x14ac:dyDescent="0.2">
      <c r="A153" s="583" t="s">
        <v>621</v>
      </c>
      <c r="B153" s="583"/>
      <c r="C153" s="583"/>
      <c r="D153" s="583"/>
      <c r="E153" s="583"/>
      <c r="F153" s="583"/>
      <c r="G153" s="583"/>
      <c r="H153" s="583"/>
      <c r="I153" s="406">
        <f>SUM(I143:I152)</f>
        <v>0</v>
      </c>
      <c r="K153" s="242"/>
      <c r="L153" s="242"/>
      <c r="M153" s="242"/>
      <c r="N153" s="242"/>
      <c r="O153" s="242"/>
    </row>
    <row r="154" spans="1:15" ht="6" customHeight="1" x14ac:dyDescent="0.2">
      <c r="A154" s="407"/>
      <c r="B154" s="408"/>
      <c r="C154" s="408"/>
      <c r="D154" s="409"/>
      <c r="E154" s="408"/>
      <c r="F154" s="410"/>
      <c r="G154" s="411"/>
      <c r="H154" s="431"/>
      <c r="I154" s="432"/>
      <c r="K154" s="242"/>
      <c r="L154" s="242"/>
      <c r="M154" s="242"/>
      <c r="N154" s="242"/>
      <c r="O154" s="242"/>
    </row>
    <row r="155" spans="1:15" s="263" customFormat="1" ht="17.25" customHeight="1" x14ac:dyDescent="0.2">
      <c r="A155" s="433" t="s">
        <v>530</v>
      </c>
      <c r="B155" s="434"/>
      <c r="C155" s="435"/>
      <c r="D155" s="447" t="s">
        <v>106</v>
      </c>
      <c r="E155" s="434"/>
      <c r="F155" s="436"/>
      <c r="G155" s="436"/>
      <c r="H155" s="437"/>
      <c r="I155" s="438"/>
      <c r="K155" s="242"/>
      <c r="L155" s="242"/>
      <c r="M155" s="242"/>
      <c r="N155" s="242"/>
      <c r="O155" s="242"/>
    </row>
    <row r="156" spans="1:15" s="126" customFormat="1" ht="45" customHeight="1" x14ac:dyDescent="0.2">
      <c r="A156" s="422" t="s">
        <v>531</v>
      </c>
      <c r="B156" s="398">
        <v>151701</v>
      </c>
      <c r="C156" s="400" t="s">
        <v>644</v>
      </c>
      <c r="D156" s="401" t="s">
        <v>588</v>
      </c>
      <c r="E156" s="400" t="s">
        <v>410</v>
      </c>
      <c r="F156" s="403">
        <v>1</v>
      </c>
      <c r="G156" s="403"/>
      <c r="H156" s="403">
        <f t="shared" ref="H156:H163" si="21">G156*(1+$I$2)</f>
        <v>0</v>
      </c>
      <c r="I156" s="405">
        <f t="shared" ref="I156:I163" si="22">ROUND(F156*H156,2)</f>
        <v>0</v>
      </c>
    </row>
    <row r="157" spans="1:15" s="126" customFormat="1" ht="51" x14ac:dyDescent="0.2">
      <c r="A157" s="422" t="s">
        <v>532</v>
      </c>
      <c r="B157" s="398">
        <v>150122</v>
      </c>
      <c r="C157" s="400" t="s">
        <v>644</v>
      </c>
      <c r="D157" s="401" t="s">
        <v>493</v>
      </c>
      <c r="E157" s="400" t="s">
        <v>410</v>
      </c>
      <c r="F157" s="403">
        <v>1</v>
      </c>
      <c r="G157" s="403"/>
      <c r="H157" s="403">
        <f t="shared" si="21"/>
        <v>0</v>
      </c>
      <c r="I157" s="405">
        <f t="shared" si="22"/>
        <v>0</v>
      </c>
    </row>
    <row r="158" spans="1:15" s="126" customFormat="1" ht="45" customHeight="1" x14ac:dyDescent="0.2">
      <c r="A158" s="422" t="s">
        <v>533</v>
      </c>
      <c r="B158" s="398">
        <v>151801</v>
      </c>
      <c r="C158" s="400" t="s">
        <v>644</v>
      </c>
      <c r="D158" s="401" t="s">
        <v>223</v>
      </c>
      <c r="E158" s="400" t="s">
        <v>410</v>
      </c>
      <c r="F158" s="403">
        <v>6</v>
      </c>
      <c r="G158" s="403"/>
      <c r="H158" s="403">
        <f t="shared" si="21"/>
        <v>0</v>
      </c>
      <c r="I158" s="405">
        <f t="shared" si="22"/>
        <v>0</v>
      </c>
    </row>
    <row r="159" spans="1:15" s="126" customFormat="1" ht="45" customHeight="1" x14ac:dyDescent="0.2">
      <c r="A159" s="422" t="s">
        <v>534</v>
      </c>
      <c r="B159" s="398">
        <v>151803</v>
      </c>
      <c r="C159" s="400" t="s">
        <v>644</v>
      </c>
      <c r="D159" s="401" t="s">
        <v>289</v>
      </c>
      <c r="E159" s="400" t="s">
        <v>410</v>
      </c>
      <c r="F159" s="403">
        <v>5</v>
      </c>
      <c r="G159" s="403"/>
      <c r="H159" s="403">
        <f t="shared" si="21"/>
        <v>0</v>
      </c>
      <c r="I159" s="405">
        <f t="shared" si="22"/>
        <v>0</v>
      </c>
    </row>
    <row r="160" spans="1:15" s="126" customFormat="1" ht="45" customHeight="1" x14ac:dyDescent="0.2">
      <c r="A160" s="422" t="s">
        <v>535</v>
      </c>
      <c r="B160" s="398">
        <v>151809</v>
      </c>
      <c r="C160" s="400" t="s">
        <v>644</v>
      </c>
      <c r="D160" s="401" t="s">
        <v>524</v>
      </c>
      <c r="E160" s="400" t="s">
        <v>410</v>
      </c>
      <c r="F160" s="403">
        <v>2</v>
      </c>
      <c r="G160" s="403"/>
      <c r="H160" s="403">
        <f t="shared" si="21"/>
        <v>0</v>
      </c>
      <c r="I160" s="405">
        <f t="shared" si="22"/>
        <v>0</v>
      </c>
    </row>
    <row r="161" spans="1:15" s="126" customFormat="1" ht="54.95" customHeight="1" x14ac:dyDescent="0.2">
      <c r="A161" s="422" t="s">
        <v>536</v>
      </c>
      <c r="B161" s="398">
        <v>151811</v>
      </c>
      <c r="C161" s="400" t="s">
        <v>644</v>
      </c>
      <c r="D161" s="401" t="s">
        <v>290</v>
      </c>
      <c r="E161" s="400" t="s">
        <v>410</v>
      </c>
      <c r="F161" s="403">
        <v>4</v>
      </c>
      <c r="G161" s="403"/>
      <c r="H161" s="403">
        <f t="shared" si="21"/>
        <v>0</v>
      </c>
      <c r="I161" s="405">
        <f t="shared" si="22"/>
        <v>0</v>
      </c>
    </row>
    <row r="162" spans="1:15" s="126" customFormat="1" ht="45" customHeight="1" x14ac:dyDescent="0.2">
      <c r="A162" s="422" t="s">
        <v>537</v>
      </c>
      <c r="B162" s="398">
        <v>151805</v>
      </c>
      <c r="C162" s="400" t="s">
        <v>644</v>
      </c>
      <c r="D162" s="401" t="s">
        <v>224</v>
      </c>
      <c r="E162" s="400" t="s">
        <v>410</v>
      </c>
      <c r="F162" s="403">
        <v>1</v>
      </c>
      <c r="G162" s="403"/>
      <c r="H162" s="403">
        <f t="shared" si="21"/>
        <v>0</v>
      </c>
      <c r="I162" s="405">
        <f t="shared" si="22"/>
        <v>0</v>
      </c>
    </row>
    <row r="163" spans="1:15" s="126" customFormat="1" ht="45" customHeight="1" x14ac:dyDescent="0.2">
      <c r="A163" s="422" t="s">
        <v>538</v>
      </c>
      <c r="B163" s="398">
        <v>151819</v>
      </c>
      <c r="C163" s="400" t="s">
        <v>644</v>
      </c>
      <c r="D163" s="401" t="s">
        <v>494</v>
      </c>
      <c r="E163" s="400" t="s">
        <v>410</v>
      </c>
      <c r="F163" s="403">
        <v>1</v>
      </c>
      <c r="G163" s="403"/>
      <c r="H163" s="403">
        <f t="shared" si="21"/>
        <v>0</v>
      </c>
      <c r="I163" s="405">
        <f t="shared" si="22"/>
        <v>0</v>
      </c>
    </row>
    <row r="164" spans="1:15" ht="21.75" customHeight="1" x14ac:dyDescent="0.2">
      <c r="A164" s="583" t="s">
        <v>623</v>
      </c>
      <c r="B164" s="583"/>
      <c r="C164" s="583"/>
      <c r="D164" s="583"/>
      <c r="E164" s="583"/>
      <c r="F164" s="583"/>
      <c r="G164" s="583"/>
      <c r="H164" s="583"/>
      <c r="I164" s="406">
        <f>SUM(I156:I163)</f>
        <v>0</v>
      </c>
      <c r="K164" s="242"/>
      <c r="L164" s="242"/>
      <c r="M164" s="242"/>
      <c r="N164" s="242"/>
      <c r="O164" s="242"/>
    </row>
    <row r="165" spans="1:15" ht="6.75" customHeight="1" x14ac:dyDescent="0.2">
      <c r="A165" s="407"/>
      <c r="B165" s="408"/>
      <c r="C165" s="408"/>
      <c r="D165" s="409"/>
      <c r="E165" s="408"/>
      <c r="F165" s="410"/>
      <c r="G165" s="411"/>
      <c r="H165" s="431"/>
      <c r="I165" s="432"/>
      <c r="K165" s="242"/>
      <c r="L165" s="242"/>
      <c r="M165" s="242"/>
      <c r="N165" s="242"/>
      <c r="O165" s="242"/>
    </row>
    <row r="166" spans="1:15" s="261" customFormat="1" ht="18" customHeight="1" x14ac:dyDescent="0.2">
      <c r="A166" s="433" t="s">
        <v>539</v>
      </c>
      <c r="B166" s="434"/>
      <c r="C166" s="435"/>
      <c r="D166" s="447" t="s">
        <v>739</v>
      </c>
      <c r="E166" s="434"/>
      <c r="F166" s="436"/>
      <c r="G166" s="436"/>
      <c r="H166" s="437"/>
      <c r="I166" s="438"/>
      <c r="J166"/>
      <c r="K166" s="242"/>
      <c r="L166" s="242"/>
      <c r="M166" s="242"/>
      <c r="N166" s="242"/>
      <c r="O166" s="242"/>
    </row>
    <row r="167" spans="1:15" s="241" customFormat="1" ht="15.75" customHeight="1" x14ac:dyDescent="0.2">
      <c r="A167" s="439" t="s">
        <v>540</v>
      </c>
      <c r="B167" s="440"/>
      <c r="C167" s="441"/>
      <c r="D167" s="442" t="s">
        <v>740</v>
      </c>
      <c r="E167" s="400"/>
      <c r="F167" s="425"/>
      <c r="G167" s="425"/>
      <c r="H167" s="443"/>
      <c r="I167" s="426"/>
      <c r="J167"/>
      <c r="K167" s="242"/>
      <c r="L167" s="242"/>
      <c r="M167" s="242"/>
      <c r="N167" s="242"/>
      <c r="O167" s="242"/>
    </row>
    <row r="168" spans="1:15" s="126" customFormat="1" x14ac:dyDescent="0.2">
      <c r="A168" s="422" t="s">
        <v>742</v>
      </c>
      <c r="B168" s="398">
        <v>88484</v>
      </c>
      <c r="C168" s="398" t="s">
        <v>379</v>
      </c>
      <c r="D168" s="401" t="s">
        <v>881</v>
      </c>
      <c r="E168" s="400" t="s">
        <v>114</v>
      </c>
      <c r="F168" s="403">
        <v>2.35</v>
      </c>
      <c r="G168" s="403"/>
      <c r="H168" s="403">
        <f>G168*(1+$I$2)</f>
        <v>0</v>
      </c>
      <c r="I168" s="405">
        <f t="shared" ref="I168:I173" si="23">ROUND(F168*H168,2)</f>
        <v>0</v>
      </c>
    </row>
    <row r="169" spans="1:15" s="126" customFormat="1" ht="25.5" x14ac:dyDescent="0.2">
      <c r="A169" s="422" t="s">
        <v>743</v>
      </c>
      <c r="B169" s="398">
        <v>88488</v>
      </c>
      <c r="C169" s="398" t="s">
        <v>379</v>
      </c>
      <c r="D169" s="401" t="s">
        <v>882</v>
      </c>
      <c r="E169" s="400" t="s">
        <v>114</v>
      </c>
      <c r="F169" s="403">
        <v>2.35</v>
      </c>
      <c r="G169" s="403"/>
      <c r="H169" s="403">
        <f>G169*(1+$I$2)</f>
        <v>0</v>
      </c>
      <c r="I169" s="405">
        <f t="shared" si="23"/>
        <v>0</v>
      </c>
    </row>
    <row r="170" spans="1:15" s="126" customFormat="1" x14ac:dyDescent="0.2">
      <c r="A170" s="422" t="s">
        <v>744</v>
      </c>
      <c r="B170" s="398">
        <v>88485</v>
      </c>
      <c r="C170" s="398" t="s">
        <v>379</v>
      </c>
      <c r="D170" s="401" t="s">
        <v>883</v>
      </c>
      <c r="E170" s="400" t="s">
        <v>114</v>
      </c>
      <c r="F170" s="403">
        <v>170.33</v>
      </c>
      <c r="G170" s="403"/>
      <c r="H170" s="403">
        <f>G170*(1+$I$2)</f>
        <v>0</v>
      </c>
      <c r="I170" s="405">
        <f t="shared" si="23"/>
        <v>0</v>
      </c>
    </row>
    <row r="171" spans="1:15" s="126" customFormat="1" ht="25.5" x14ac:dyDescent="0.2">
      <c r="A171" s="422" t="s">
        <v>745</v>
      </c>
      <c r="B171" s="398">
        <v>88489</v>
      </c>
      <c r="C171" s="398" t="s">
        <v>379</v>
      </c>
      <c r="D171" s="401" t="s">
        <v>884</v>
      </c>
      <c r="E171" s="400" t="s">
        <v>114</v>
      </c>
      <c r="F171" s="403">
        <v>170.33</v>
      </c>
      <c r="G171" s="403"/>
      <c r="H171" s="403">
        <f>G171*(1+$I$2)</f>
        <v>0</v>
      </c>
      <c r="I171" s="405">
        <f t="shared" si="23"/>
        <v>0</v>
      </c>
    </row>
    <row r="172" spans="1:15" s="241" customFormat="1" ht="15.75" customHeight="1" x14ac:dyDescent="0.2">
      <c r="A172" s="439" t="s">
        <v>541</v>
      </c>
      <c r="B172" s="440"/>
      <c r="C172" s="441"/>
      <c r="D172" s="442" t="s">
        <v>741</v>
      </c>
      <c r="E172" s="400"/>
      <c r="F172" s="425"/>
      <c r="G172" s="425"/>
      <c r="H172" s="404"/>
      <c r="I172" s="405"/>
      <c r="J172"/>
      <c r="K172" s="242"/>
      <c r="L172" s="242"/>
      <c r="M172" s="242"/>
      <c r="N172" s="242"/>
      <c r="O172" s="242"/>
    </row>
    <row r="173" spans="1:15" s="126" customFormat="1" ht="30" customHeight="1" x14ac:dyDescent="0.2">
      <c r="A173" s="422" t="s">
        <v>746</v>
      </c>
      <c r="B173" s="398">
        <v>102203</v>
      </c>
      <c r="C173" s="398" t="s">
        <v>379</v>
      </c>
      <c r="D173" s="401" t="s">
        <v>885</v>
      </c>
      <c r="E173" s="400" t="s">
        <v>114</v>
      </c>
      <c r="F173" s="403">
        <v>23.75</v>
      </c>
      <c r="G173" s="403"/>
      <c r="H173" s="403">
        <f>G173*(1+$I$2)</f>
        <v>0</v>
      </c>
      <c r="I173" s="405">
        <f t="shared" si="23"/>
        <v>0</v>
      </c>
    </row>
    <row r="174" spans="1:15" ht="23.25" customHeight="1" x14ac:dyDescent="0.2">
      <c r="A174" s="583" t="s">
        <v>624</v>
      </c>
      <c r="B174" s="583"/>
      <c r="C174" s="583"/>
      <c r="D174" s="583"/>
      <c r="E174" s="583"/>
      <c r="F174" s="583"/>
      <c r="G174" s="583"/>
      <c r="H174" s="583"/>
      <c r="I174" s="406">
        <f>SUM(I168:I173)</f>
        <v>0</v>
      </c>
      <c r="K174" s="242"/>
      <c r="L174" s="242"/>
      <c r="M174" s="242"/>
      <c r="N174" s="242"/>
      <c r="O174" s="242"/>
    </row>
    <row r="175" spans="1:15" ht="5.25" customHeight="1" x14ac:dyDescent="0.2">
      <c r="A175" s="407"/>
      <c r="B175" s="408"/>
      <c r="C175" s="408"/>
      <c r="D175" s="409"/>
      <c r="E175" s="408"/>
      <c r="F175" s="410"/>
      <c r="G175" s="411"/>
      <c r="H175" s="431"/>
      <c r="I175" s="432"/>
      <c r="K175" s="242"/>
      <c r="L175" s="242"/>
      <c r="M175" s="242"/>
      <c r="N175" s="242"/>
      <c r="O175" s="242"/>
    </row>
    <row r="176" spans="1:15" s="263" customFormat="1" ht="15.75" customHeight="1" x14ac:dyDescent="0.2">
      <c r="A176" s="433" t="s">
        <v>542</v>
      </c>
      <c r="B176" s="434"/>
      <c r="C176" s="435"/>
      <c r="D176" s="447" t="s">
        <v>478</v>
      </c>
      <c r="E176" s="434"/>
      <c r="F176" s="436"/>
      <c r="G176" s="436"/>
      <c r="H176" s="437"/>
      <c r="I176" s="438"/>
      <c r="J176"/>
      <c r="K176" s="242"/>
      <c r="L176" s="242"/>
      <c r="M176" s="242"/>
      <c r="N176" s="242"/>
      <c r="O176" s="242"/>
    </row>
    <row r="177" spans="1:15" s="126" customFormat="1" ht="25.5" x14ac:dyDescent="0.2">
      <c r="A177" s="422" t="s">
        <v>543</v>
      </c>
      <c r="B177" s="505" t="s">
        <v>397</v>
      </c>
      <c r="C177" s="400" t="s">
        <v>644</v>
      </c>
      <c r="D177" s="401" t="s">
        <v>212</v>
      </c>
      <c r="E177" s="400" t="s">
        <v>225</v>
      </c>
      <c r="F177" s="403">
        <v>0.15</v>
      </c>
      <c r="G177" s="403"/>
      <c r="H177" s="403">
        <f t="shared" ref="H177:H183" si="24">G177*(1+$I$2)</f>
        <v>0</v>
      </c>
      <c r="I177" s="405">
        <f t="shared" ref="I177:I183" si="25">ROUND(F177*H177,2)</f>
        <v>0</v>
      </c>
    </row>
    <row r="178" spans="1:15" s="126" customFormat="1" ht="25.5" x14ac:dyDescent="0.2">
      <c r="A178" s="422" t="s">
        <v>544</v>
      </c>
      <c r="B178" s="505" t="s">
        <v>500</v>
      </c>
      <c r="C178" s="398" t="s">
        <v>379</v>
      </c>
      <c r="D178" s="401" t="s">
        <v>650</v>
      </c>
      <c r="E178" s="400" t="s">
        <v>114</v>
      </c>
      <c r="F178" s="403">
        <v>0.85</v>
      </c>
      <c r="G178" s="403"/>
      <c r="H178" s="403">
        <f t="shared" si="24"/>
        <v>0</v>
      </c>
      <c r="I178" s="405">
        <f t="shared" si="25"/>
        <v>0</v>
      </c>
    </row>
    <row r="179" spans="1:15" s="126" customFormat="1" ht="25.5" x14ac:dyDescent="0.2">
      <c r="A179" s="422" t="s">
        <v>545</v>
      </c>
      <c r="B179" s="505" t="s">
        <v>398</v>
      </c>
      <c r="C179" s="400" t="s">
        <v>644</v>
      </c>
      <c r="D179" s="401" t="s">
        <v>252</v>
      </c>
      <c r="E179" s="400" t="s">
        <v>225</v>
      </c>
      <c r="F179" s="403">
        <v>0.05</v>
      </c>
      <c r="G179" s="403"/>
      <c r="H179" s="403">
        <f t="shared" si="24"/>
        <v>0</v>
      </c>
      <c r="I179" s="405">
        <f t="shared" si="25"/>
        <v>0</v>
      </c>
    </row>
    <row r="180" spans="1:15" s="126" customFormat="1" ht="38.25" x14ac:dyDescent="0.2">
      <c r="A180" s="422" t="s">
        <v>579</v>
      </c>
      <c r="B180" s="505" t="s">
        <v>400</v>
      </c>
      <c r="C180" s="400" t="s">
        <v>644</v>
      </c>
      <c r="D180" s="401" t="s">
        <v>384</v>
      </c>
      <c r="E180" s="400" t="s">
        <v>225</v>
      </c>
      <c r="F180" s="403">
        <v>0.04</v>
      </c>
      <c r="G180" s="403"/>
      <c r="H180" s="403">
        <f t="shared" si="24"/>
        <v>0</v>
      </c>
      <c r="I180" s="405">
        <f t="shared" si="25"/>
        <v>0</v>
      </c>
    </row>
    <row r="181" spans="1:15" s="126" customFormat="1" ht="38.25" x14ac:dyDescent="0.2">
      <c r="A181" s="422" t="s">
        <v>580</v>
      </c>
      <c r="B181" s="398">
        <v>50501</v>
      </c>
      <c r="C181" s="400" t="s">
        <v>644</v>
      </c>
      <c r="D181" s="401" t="s">
        <v>422</v>
      </c>
      <c r="E181" s="400" t="s">
        <v>114</v>
      </c>
      <c r="F181" s="403">
        <v>0.67</v>
      </c>
      <c r="G181" s="403"/>
      <c r="H181" s="403">
        <f t="shared" si="24"/>
        <v>0</v>
      </c>
      <c r="I181" s="405">
        <f t="shared" si="25"/>
        <v>0</v>
      </c>
    </row>
    <row r="182" spans="1:15" s="126" customFormat="1" ht="25.5" x14ac:dyDescent="0.2">
      <c r="A182" s="422" t="s">
        <v>581</v>
      </c>
      <c r="B182" s="505" t="s">
        <v>711</v>
      </c>
      <c r="C182" s="400" t="s">
        <v>644</v>
      </c>
      <c r="D182" s="401" t="s">
        <v>389</v>
      </c>
      <c r="E182" s="400" t="s">
        <v>114</v>
      </c>
      <c r="F182" s="403">
        <v>1.51</v>
      </c>
      <c r="G182" s="403"/>
      <c r="H182" s="403">
        <f t="shared" si="24"/>
        <v>0</v>
      </c>
      <c r="I182" s="405">
        <f t="shared" si="25"/>
        <v>0</v>
      </c>
    </row>
    <row r="183" spans="1:15" s="126" customFormat="1" ht="25.5" x14ac:dyDescent="0.2">
      <c r="A183" s="422" t="s">
        <v>582</v>
      </c>
      <c r="B183" s="505" t="s">
        <v>483</v>
      </c>
      <c r="C183" s="398" t="s">
        <v>379</v>
      </c>
      <c r="D183" s="401" t="s">
        <v>714</v>
      </c>
      <c r="E183" s="400" t="s">
        <v>114</v>
      </c>
      <c r="F183" s="403">
        <v>1.99</v>
      </c>
      <c r="G183" s="403"/>
      <c r="H183" s="403">
        <f t="shared" si="24"/>
        <v>0</v>
      </c>
      <c r="I183" s="405">
        <f t="shared" si="25"/>
        <v>0</v>
      </c>
    </row>
    <row r="184" spans="1:15" ht="19.5" customHeight="1" x14ac:dyDescent="0.2">
      <c r="A184" s="583" t="s">
        <v>625</v>
      </c>
      <c r="B184" s="583"/>
      <c r="C184" s="583"/>
      <c r="D184" s="583"/>
      <c r="E184" s="583"/>
      <c r="F184" s="583"/>
      <c r="G184" s="583"/>
      <c r="H184" s="583"/>
      <c r="I184" s="406">
        <f>SUM(I177:I183)</f>
        <v>0</v>
      </c>
      <c r="K184" s="242"/>
      <c r="L184" s="242"/>
      <c r="M184" s="242"/>
      <c r="N184" s="242"/>
      <c r="O184" s="242"/>
    </row>
    <row r="185" spans="1:15" ht="6" customHeight="1" x14ac:dyDescent="0.2">
      <c r="A185" s="407"/>
      <c r="B185" s="408"/>
      <c r="C185" s="408"/>
      <c r="D185" s="409"/>
      <c r="E185" s="408"/>
      <c r="F185" s="410"/>
      <c r="G185" s="411"/>
      <c r="H185" s="431"/>
      <c r="I185" s="449"/>
      <c r="K185" s="242"/>
      <c r="L185" s="242"/>
      <c r="M185" s="242"/>
      <c r="N185" s="242"/>
      <c r="O185" s="242"/>
    </row>
    <row r="186" spans="1:15" s="262" customFormat="1" x14ac:dyDescent="0.2">
      <c r="A186" s="433" t="s">
        <v>546</v>
      </c>
      <c r="B186" s="434"/>
      <c r="C186" s="435"/>
      <c r="D186" s="450" t="s">
        <v>872</v>
      </c>
      <c r="E186" s="434"/>
      <c r="F186" s="436"/>
      <c r="G186" s="436"/>
      <c r="H186" s="437"/>
      <c r="I186" s="438"/>
      <c r="K186" s="242"/>
      <c r="L186" s="242"/>
      <c r="M186" s="242"/>
      <c r="N186" s="242"/>
      <c r="O186" s="242"/>
    </row>
    <row r="187" spans="1:15" s="126" customFormat="1" ht="25.5" x14ac:dyDescent="0.2">
      <c r="A187" s="398" t="s">
        <v>547</v>
      </c>
      <c r="B187" s="398">
        <v>200401</v>
      </c>
      <c r="C187" s="400" t="s">
        <v>644</v>
      </c>
      <c r="D187" s="401" t="s">
        <v>421</v>
      </c>
      <c r="E187" s="400" t="s">
        <v>114</v>
      </c>
      <c r="F187" s="403">
        <v>43.98</v>
      </c>
      <c r="G187" s="403"/>
      <c r="H187" s="403">
        <f>G187*(1+$I$2)</f>
        <v>0</v>
      </c>
      <c r="I187" s="405">
        <f t="shared" ref="I187" si="26">ROUND(F187*H187,2)</f>
        <v>0</v>
      </c>
    </row>
    <row r="188" spans="1:15" s="73" customFormat="1" ht="18.75" customHeight="1" x14ac:dyDescent="0.2">
      <c r="A188" s="583" t="s">
        <v>626</v>
      </c>
      <c r="B188" s="583"/>
      <c r="C188" s="583"/>
      <c r="D188" s="583"/>
      <c r="E188" s="583"/>
      <c r="F188" s="583"/>
      <c r="G188" s="583"/>
      <c r="H188" s="583"/>
      <c r="I188" s="406">
        <f>SUM(I187)</f>
        <v>0</v>
      </c>
      <c r="K188" s="242"/>
      <c r="L188" s="242"/>
      <c r="M188" s="242"/>
      <c r="N188" s="242"/>
      <c r="O188" s="242"/>
    </row>
    <row r="189" spans="1:15" ht="6" customHeight="1" x14ac:dyDescent="0.2">
      <c r="A189" s="407"/>
      <c r="B189" s="408"/>
      <c r="C189" s="408"/>
      <c r="D189" s="409"/>
      <c r="E189" s="408"/>
      <c r="F189" s="410"/>
      <c r="G189" s="411"/>
      <c r="H189" s="431"/>
      <c r="I189" s="449"/>
      <c r="K189" s="242"/>
      <c r="L189" s="242"/>
      <c r="M189" s="242"/>
      <c r="N189" s="242"/>
      <c r="O189" s="242"/>
    </row>
    <row r="190" spans="1:15" s="126" customFormat="1" x14ac:dyDescent="0.2">
      <c r="A190" s="587" t="s">
        <v>639</v>
      </c>
      <c r="B190" s="588"/>
      <c r="C190" s="588"/>
      <c r="D190" s="588"/>
      <c r="E190" s="588"/>
      <c r="F190" s="588"/>
      <c r="G190" s="588"/>
      <c r="H190" s="589"/>
      <c r="I190" s="451">
        <f>I23+I31+I46+I51+I56+I64+I78+I85+I90+I98+I108+I129+I140+I153+I164+I174+I184+I188</f>
        <v>0</v>
      </c>
      <c r="K190" s="242"/>
      <c r="L190" s="242"/>
      <c r="M190" s="242"/>
      <c r="N190" s="242"/>
      <c r="O190" s="242"/>
    </row>
    <row r="191" spans="1:15" s="126" customFormat="1" ht="6" customHeight="1" x14ac:dyDescent="0.2">
      <c r="A191" s="452"/>
      <c r="B191" s="453"/>
      <c r="C191" s="453"/>
      <c r="D191" s="453"/>
      <c r="E191" s="453"/>
      <c r="F191" s="453"/>
      <c r="G191" s="453"/>
      <c r="H191" s="453"/>
      <c r="I191" s="454"/>
      <c r="K191" s="242"/>
      <c r="L191" s="242"/>
      <c r="M191" s="242"/>
      <c r="N191" s="242"/>
      <c r="O191" s="242"/>
    </row>
    <row r="192" spans="1:15" s="241" customFormat="1" ht="20.100000000000001" customHeight="1" x14ac:dyDescent="0.2">
      <c r="A192" s="584" t="s">
        <v>525</v>
      </c>
      <c r="B192" s="585"/>
      <c r="C192" s="585"/>
      <c r="D192" s="585"/>
      <c r="E192" s="585"/>
      <c r="F192" s="585"/>
      <c r="G192" s="585"/>
      <c r="H192" s="585"/>
      <c r="I192" s="586"/>
      <c r="K192" s="242"/>
      <c r="L192" s="242"/>
      <c r="M192" s="242"/>
      <c r="N192" s="242"/>
      <c r="O192" s="242"/>
    </row>
    <row r="193" spans="1:15" s="241" customFormat="1" ht="18" customHeight="1" x14ac:dyDescent="0.2">
      <c r="A193" s="433" t="s">
        <v>548</v>
      </c>
      <c r="B193" s="434"/>
      <c r="C193" s="435"/>
      <c r="D193" s="447" t="s">
        <v>477</v>
      </c>
      <c r="E193" s="434"/>
      <c r="F193" s="436"/>
      <c r="G193" s="436"/>
      <c r="H193" s="437"/>
      <c r="I193" s="438"/>
      <c r="K193" s="242"/>
      <c r="L193" s="242"/>
      <c r="M193" s="242"/>
      <c r="N193" s="242"/>
      <c r="O193" s="242"/>
    </row>
    <row r="194" spans="1:15" s="129" customFormat="1" ht="25.5" x14ac:dyDescent="0.2">
      <c r="A194" s="398" t="s">
        <v>549</v>
      </c>
      <c r="B194" s="505" t="s">
        <v>395</v>
      </c>
      <c r="C194" s="400" t="s">
        <v>644</v>
      </c>
      <c r="D194" s="401" t="s">
        <v>387</v>
      </c>
      <c r="E194" s="400" t="s">
        <v>114</v>
      </c>
      <c r="F194" s="403">
        <v>50.39</v>
      </c>
      <c r="G194" s="403"/>
      <c r="H194" s="403">
        <f>G194*(1+$I$2)</f>
        <v>0</v>
      </c>
      <c r="I194" s="405">
        <f t="shared" ref="I194" si="27">ROUND(F194*H194,2)</f>
        <v>0</v>
      </c>
      <c r="K194" s="126"/>
      <c r="L194" s="126"/>
      <c r="M194" s="126"/>
      <c r="N194" s="126"/>
      <c r="O194" s="126"/>
    </row>
    <row r="195" spans="1:15" s="239" customFormat="1" ht="20.100000000000001" customHeight="1" x14ac:dyDescent="0.2">
      <c r="A195" s="583" t="s">
        <v>622</v>
      </c>
      <c r="B195" s="583"/>
      <c r="C195" s="583"/>
      <c r="D195" s="583"/>
      <c r="E195" s="583"/>
      <c r="F195" s="583"/>
      <c r="G195" s="583"/>
      <c r="H195" s="583"/>
      <c r="I195" s="406">
        <f>SUM(I194)</f>
        <v>0</v>
      </c>
      <c r="K195" s="242"/>
      <c r="L195" s="242"/>
      <c r="M195" s="242"/>
      <c r="N195" s="242"/>
      <c r="O195" s="242"/>
    </row>
    <row r="196" spans="1:15" s="239" customFormat="1" ht="6.75" customHeight="1" x14ac:dyDescent="0.2">
      <c r="A196" s="455"/>
      <c r="B196" s="456"/>
      <c r="C196" s="456"/>
      <c r="D196" s="457"/>
      <c r="E196" s="456"/>
      <c r="F196" s="458"/>
      <c r="G196" s="459"/>
      <c r="H196" s="460"/>
      <c r="I196" s="461"/>
      <c r="K196" s="242"/>
      <c r="L196" s="242"/>
      <c r="M196" s="242"/>
      <c r="N196" s="242"/>
      <c r="O196" s="242"/>
    </row>
    <row r="197" spans="1:15" s="241" customFormat="1" ht="15.75" customHeight="1" x14ac:dyDescent="0.2">
      <c r="A197" s="433" t="s">
        <v>550</v>
      </c>
      <c r="B197" s="434"/>
      <c r="C197" s="435"/>
      <c r="D197" s="447" t="s">
        <v>645</v>
      </c>
      <c r="E197" s="434"/>
      <c r="F197" s="436"/>
      <c r="G197" s="436"/>
      <c r="H197" s="437"/>
      <c r="I197" s="438"/>
      <c r="K197" s="242"/>
      <c r="L197" s="242"/>
      <c r="M197" s="242"/>
      <c r="N197" s="242"/>
      <c r="O197" s="242"/>
    </row>
    <row r="198" spans="1:15" s="241" customFormat="1" ht="15.75" customHeight="1" x14ac:dyDescent="0.2">
      <c r="A198" s="439" t="s">
        <v>551</v>
      </c>
      <c r="B198" s="440"/>
      <c r="C198" s="441"/>
      <c r="D198" s="442" t="s">
        <v>646</v>
      </c>
      <c r="E198" s="400"/>
      <c r="F198" s="425"/>
      <c r="G198" s="425"/>
      <c r="H198" s="404"/>
      <c r="I198" s="405"/>
      <c r="K198" s="242"/>
      <c r="L198" s="242"/>
      <c r="M198" s="242"/>
      <c r="N198" s="242"/>
      <c r="O198" s="242"/>
    </row>
    <row r="199" spans="1:15" s="126" customFormat="1" ht="30" customHeight="1" x14ac:dyDescent="0.2">
      <c r="A199" s="422" t="s">
        <v>748</v>
      </c>
      <c r="B199" s="505" t="s">
        <v>397</v>
      </c>
      <c r="C199" s="400" t="s">
        <v>644</v>
      </c>
      <c r="D199" s="509" t="s">
        <v>212</v>
      </c>
      <c r="E199" s="462" t="s">
        <v>225</v>
      </c>
      <c r="F199" s="463">
        <v>4.57</v>
      </c>
      <c r="G199" s="463"/>
      <c r="H199" s="403">
        <f>G199*(1+$I$2)</f>
        <v>0</v>
      </c>
      <c r="I199" s="405">
        <f t="shared" ref="I199:I202" si="28">ROUND(F199*H199,2)</f>
        <v>0</v>
      </c>
    </row>
    <row r="200" spans="1:15" s="126" customFormat="1" ht="30" customHeight="1" x14ac:dyDescent="0.2">
      <c r="A200" s="422" t="s">
        <v>749</v>
      </c>
      <c r="B200" s="505" t="s">
        <v>500</v>
      </c>
      <c r="C200" s="398" t="s">
        <v>379</v>
      </c>
      <c r="D200" s="401" t="s">
        <v>650</v>
      </c>
      <c r="E200" s="400" t="s">
        <v>114</v>
      </c>
      <c r="F200" s="463">
        <v>18.170000000000002</v>
      </c>
      <c r="G200" s="463"/>
      <c r="H200" s="403">
        <f>G200*(1+$I$2)</f>
        <v>0</v>
      </c>
      <c r="I200" s="405">
        <f t="shared" si="28"/>
        <v>0</v>
      </c>
    </row>
    <row r="201" spans="1:15" s="126" customFormat="1" ht="14.25" x14ac:dyDescent="0.2">
      <c r="A201" s="423" t="s">
        <v>552</v>
      </c>
      <c r="B201" s="416"/>
      <c r="C201" s="417"/>
      <c r="D201" s="418" t="s">
        <v>649</v>
      </c>
      <c r="E201" s="419"/>
      <c r="F201" s="420"/>
      <c r="G201" s="420"/>
      <c r="H201" s="420"/>
      <c r="I201" s="405"/>
      <c r="K201" s="242"/>
      <c r="L201" s="242"/>
      <c r="M201" s="242"/>
      <c r="N201" s="242"/>
      <c r="O201" s="242"/>
    </row>
    <row r="202" spans="1:15" s="126" customFormat="1" ht="28.5" customHeight="1" x14ac:dyDescent="0.2">
      <c r="A202" s="398" t="s">
        <v>750</v>
      </c>
      <c r="B202" s="505" t="s">
        <v>398</v>
      </c>
      <c r="C202" s="400" t="s">
        <v>644</v>
      </c>
      <c r="D202" s="401" t="s">
        <v>252</v>
      </c>
      <c r="E202" s="462" t="s">
        <v>225</v>
      </c>
      <c r="F202" s="463">
        <v>2.21</v>
      </c>
      <c r="G202" s="463"/>
      <c r="H202" s="403">
        <f>G202*(1+$I$2)</f>
        <v>0</v>
      </c>
      <c r="I202" s="405">
        <f t="shared" si="28"/>
        <v>0</v>
      </c>
    </row>
    <row r="203" spans="1:15" s="73" customFormat="1" ht="18" customHeight="1" x14ac:dyDescent="0.2">
      <c r="A203" s="583" t="s">
        <v>627</v>
      </c>
      <c r="B203" s="583"/>
      <c r="C203" s="583"/>
      <c r="D203" s="583"/>
      <c r="E203" s="583"/>
      <c r="F203" s="583"/>
      <c r="G203" s="583"/>
      <c r="H203" s="583"/>
      <c r="I203" s="406">
        <f>SUM(I198:I202)</f>
        <v>0</v>
      </c>
      <c r="K203" s="242"/>
      <c r="L203" s="242"/>
      <c r="M203" s="242"/>
      <c r="N203" s="242"/>
      <c r="O203" s="242"/>
    </row>
    <row r="204" spans="1:15" ht="6" customHeight="1" x14ac:dyDescent="0.2">
      <c r="A204" s="407"/>
      <c r="B204" s="408"/>
      <c r="C204" s="408"/>
      <c r="D204" s="409"/>
      <c r="E204" s="408"/>
      <c r="F204" s="410"/>
      <c r="G204" s="411"/>
      <c r="H204" s="431"/>
      <c r="I204" s="449"/>
      <c r="K204" s="242"/>
      <c r="L204" s="242"/>
      <c r="M204" s="242"/>
      <c r="N204" s="242"/>
      <c r="O204" s="242"/>
    </row>
    <row r="205" spans="1:15" s="260" customFormat="1" ht="18" customHeight="1" x14ac:dyDescent="0.2">
      <c r="A205" s="393" t="s">
        <v>553</v>
      </c>
      <c r="B205" s="394"/>
      <c r="C205" s="394"/>
      <c r="D205" s="395" t="s">
        <v>652</v>
      </c>
      <c r="E205" s="396"/>
      <c r="F205" s="396"/>
      <c r="G205" s="393"/>
      <c r="H205" s="393"/>
      <c r="I205" s="397"/>
      <c r="K205" s="242"/>
      <c r="L205" s="242"/>
      <c r="M205" s="242"/>
      <c r="N205" s="242"/>
      <c r="O205" s="242"/>
    </row>
    <row r="206" spans="1:15" s="260" customFormat="1" ht="18" customHeight="1" x14ac:dyDescent="0.2">
      <c r="A206" s="423" t="s">
        <v>554</v>
      </c>
      <c r="B206" s="400"/>
      <c r="C206" s="424"/>
      <c r="D206" s="418" t="s">
        <v>661</v>
      </c>
      <c r="E206" s="425"/>
      <c r="F206" s="426"/>
      <c r="G206" s="426"/>
      <c r="H206" s="426"/>
      <c r="I206" s="421"/>
      <c r="J206" s="126"/>
      <c r="K206" s="242"/>
      <c r="L206" s="242"/>
      <c r="M206" s="242"/>
      <c r="N206" s="242"/>
      <c r="O206" s="242"/>
    </row>
    <row r="207" spans="1:15" s="130" customFormat="1" ht="51" x14ac:dyDescent="0.2">
      <c r="A207" s="422" t="s">
        <v>751</v>
      </c>
      <c r="B207" s="427" t="s">
        <v>471</v>
      </c>
      <c r="C207" s="398" t="s">
        <v>662</v>
      </c>
      <c r="D207" s="401" t="s">
        <v>875</v>
      </c>
      <c r="E207" s="400" t="s">
        <v>27</v>
      </c>
      <c r="F207" s="403">
        <v>51.98</v>
      </c>
      <c r="G207" s="403"/>
      <c r="H207" s="403">
        <f t="shared" ref="H207:H213" si="29">G207*(1+$I$2)</f>
        <v>0</v>
      </c>
      <c r="I207" s="405">
        <f t="shared" ref="I207:I217" si="30">ROUND(F207*H207,2)</f>
        <v>0</v>
      </c>
    </row>
    <row r="208" spans="1:15" s="129" customFormat="1" ht="45" customHeight="1" x14ac:dyDescent="0.2">
      <c r="A208" s="422" t="s">
        <v>752</v>
      </c>
      <c r="B208" s="505" t="s">
        <v>400</v>
      </c>
      <c r="C208" s="400" t="s">
        <v>644</v>
      </c>
      <c r="D208" s="509" t="s">
        <v>384</v>
      </c>
      <c r="E208" s="462" t="s">
        <v>225</v>
      </c>
      <c r="F208" s="463">
        <v>0.91</v>
      </c>
      <c r="G208" s="463"/>
      <c r="H208" s="403">
        <f t="shared" si="29"/>
        <v>0</v>
      </c>
      <c r="I208" s="405">
        <f t="shared" si="30"/>
        <v>0</v>
      </c>
      <c r="K208" s="126"/>
      <c r="L208" s="126"/>
      <c r="M208" s="126"/>
      <c r="N208" s="126"/>
      <c r="O208" s="126"/>
    </row>
    <row r="209" spans="1:15" s="126" customFormat="1" ht="30" customHeight="1" x14ac:dyDescent="0.2">
      <c r="A209" s="422" t="s">
        <v>753</v>
      </c>
      <c r="B209" s="505" t="s">
        <v>401</v>
      </c>
      <c r="C209" s="400" t="s">
        <v>644</v>
      </c>
      <c r="D209" s="401" t="s">
        <v>382</v>
      </c>
      <c r="E209" s="400" t="s">
        <v>225</v>
      </c>
      <c r="F209" s="463">
        <v>0.19</v>
      </c>
      <c r="G209" s="463"/>
      <c r="H209" s="403">
        <f t="shared" si="29"/>
        <v>0</v>
      </c>
      <c r="I209" s="405">
        <f t="shared" si="30"/>
        <v>0</v>
      </c>
    </row>
    <row r="210" spans="1:15" s="126" customFormat="1" ht="38.25" x14ac:dyDescent="0.2">
      <c r="A210" s="422" t="s">
        <v>754</v>
      </c>
      <c r="B210" s="505" t="s">
        <v>402</v>
      </c>
      <c r="C210" s="400" t="s">
        <v>644</v>
      </c>
      <c r="D210" s="401" t="s">
        <v>385</v>
      </c>
      <c r="E210" s="400" t="s">
        <v>114</v>
      </c>
      <c r="F210" s="463">
        <v>4.32</v>
      </c>
      <c r="G210" s="463"/>
      <c r="H210" s="403">
        <f t="shared" si="29"/>
        <v>0</v>
      </c>
      <c r="I210" s="405">
        <f t="shared" si="30"/>
        <v>0</v>
      </c>
    </row>
    <row r="211" spans="1:15" s="130" customFormat="1" ht="25.5" x14ac:dyDescent="0.2">
      <c r="A211" s="422" t="s">
        <v>755</v>
      </c>
      <c r="B211" s="428" t="s">
        <v>403</v>
      </c>
      <c r="C211" s="400" t="s">
        <v>644</v>
      </c>
      <c r="D211" s="401" t="s">
        <v>255</v>
      </c>
      <c r="E211" s="400" t="s">
        <v>205</v>
      </c>
      <c r="F211" s="463">
        <v>2.6</v>
      </c>
      <c r="G211" s="463"/>
      <c r="H211" s="403">
        <f t="shared" si="29"/>
        <v>0</v>
      </c>
      <c r="I211" s="405">
        <f t="shared" si="30"/>
        <v>0</v>
      </c>
      <c r="K211" s="126"/>
      <c r="L211" s="126"/>
      <c r="M211" s="126"/>
      <c r="N211" s="126"/>
      <c r="O211" s="126"/>
    </row>
    <row r="212" spans="1:15" s="129" customFormat="1" ht="25.5" x14ac:dyDescent="0.2">
      <c r="A212" s="422" t="s">
        <v>756</v>
      </c>
      <c r="B212" s="505" t="s">
        <v>404</v>
      </c>
      <c r="C212" s="400" t="s">
        <v>644</v>
      </c>
      <c r="D212" s="401" t="s">
        <v>386</v>
      </c>
      <c r="E212" s="400" t="s">
        <v>205</v>
      </c>
      <c r="F212" s="463">
        <v>12.76</v>
      </c>
      <c r="G212" s="463"/>
      <c r="H212" s="403">
        <f t="shared" si="29"/>
        <v>0</v>
      </c>
      <c r="I212" s="405">
        <f t="shared" si="30"/>
        <v>0</v>
      </c>
      <c r="J212" s="130"/>
      <c r="K212" s="126"/>
      <c r="L212" s="126"/>
      <c r="M212" s="126"/>
      <c r="N212" s="126"/>
      <c r="O212" s="126"/>
    </row>
    <row r="213" spans="1:15" s="129" customFormat="1" ht="16.5" customHeight="1" x14ac:dyDescent="0.2">
      <c r="A213" s="422" t="s">
        <v>757</v>
      </c>
      <c r="B213" s="505" t="s">
        <v>484</v>
      </c>
      <c r="C213" s="398" t="s">
        <v>379</v>
      </c>
      <c r="D213" s="401" t="s">
        <v>651</v>
      </c>
      <c r="E213" s="400" t="s">
        <v>114</v>
      </c>
      <c r="F213" s="463">
        <v>46.78</v>
      </c>
      <c r="G213" s="463"/>
      <c r="H213" s="403">
        <f t="shared" si="29"/>
        <v>0</v>
      </c>
      <c r="I213" s="405">
        <f t="shared" si="30"/>
        <v>0</v>
      </c>
      <c r="J213" s="130"/>
      <c r="K213" s="126"/>
      <c r="L213" s="126"/>
      <c r="M213" s="126"/>
      <c r="N213" s="126"/>
      <c r="O213" s="126"/>
    </row>
    <row r="214" spans="1:15" s="260" customFormat="1" ht="18" customHeight="1" x14ac:dyDescent="0.2">
      <c r="A214" s="423" t="s">
        <v>555</v>
      </c>
      <c r="B214" s="400"/>
      <c r="C214" s="424"/>
      <c r="D214" s="418" t="s">
        <v>663</v>
      </c>
      <c r="E214" s="425"/>
      <c r="F214" s="426"/>
      <c r="G214" s="426"/>
      <c r="H214" s="404"/>
      <c r="I214" s="405"/>
      <c r="J214" s="130"/>
      <c r="K214" s="242"/>
      <c r="L214" s="242"/>
      <c r="M214" s="242"/>
      <c r="N214" s="242"/>
      <c r="O214" s="242"/>
    </row>
    <row r="215" spans="1:15" s="130" customFormat="1" ht="53.25" customHeight="1" x14ac:dyDescent="0.2">
      <c r="A215" s="422" t="s">
        <v>891</v>
      </c>
      <c r="B215" s="505" t="s">
        <v>469</v>
      </c>
      <c r="C215" s="398" t="s">
        <v>662</v>
      </c>
      <c r="D215" s="429" t="s">
        <v>876</v>
      </c>
      <c r="E215" s="430" t="s">
        <v>27</v>
      </c>
      <c r="F215" s="403">
        <v>55.56</v>
      </c>
      <c r="G215" s="403"/>
      <c r="H215" s="403">
        <f>G215*(1+$I$2)</f>
        <v>0</v>
      </c>
      <c r="I215" s="405">
        <f t="shared" ref="I215" si="31">ROUND(F215*H215,2)</f>
        <v>0</v>
      </c>
    </row>
    <row r="216" spans="1:15" s="260" customFormat="1" ht="18" customHeight="1" x14ac:dyDescent="0.2">
      <c r="A216" s="423" t="s">
        <v>556</v>
      </c>
      <c r="B216" s="400"/>
      <c r="C216" s="424"/>
      <c r="D216" s="418" t="s">
        <v>665</v>
      </c>
      <c r="E216" s="425"/>
      <c r="F216" s="426"/>
      <c r="G216" s="426"/>
      <c r="H216" s="404"/>
      <c r="I216" s="405"/>
      <c r="J216" s="126"/>
      <c r="K216" s="242"/>
      <c r="L216" s="242"/>
      <c r="M216" s="242"/>
      <c r="N216" s="242"/>
      <c r="O216" s="242"/>
    </row>
    <row r="217" spans="1:15" s="130" customFormat="1" ht="30" customHeight="1" x14ac:dyDescent="0.2">
      <c r="A217" s="422" t="s">
        <v>758</v>
      </c>
      <c r="B217" s="505" t="s">
        <v>406</v>
      </c>
      <c r="C217" s="400" t="s">
        <v>644</v>
      </c>
      <c r="D217" s="401" t="s">
        <v>522</v>
      </c>
      <c r="E217" s="462" t="s">
        <v>114</v>
      </c>
      <c r="F217" s="463">
        <v>5.78</v>
      </c>
      <c r="G217" s="463"/>
      <c r="H217" s="403">
        <f>G217*(1+$I$2)</f>
        <v>0</v>
      </c>
      <c r="I217" s="405">
        <f t="shared" si="30"/>
        <v>0</v>
      </c>
      <c r="K217" s="126"/>
      <c r="L217" s="126"/>
      <c r="M217" s="126"/>
      <c r="N217" s="126"/>
      <c r="O217" s="126"/>
    </row>
    <row r="218" spans="1:15" s="73" customFormat="1" ht="18" customHeight="1" x14ac:dyDescent="0.2">
      <c r="A218" s="583" t="s">
        <v>628</v>
      </c>
      <c r="B218" s="583"/>
      <c r="C218" s="583"/>
      <c r="D218" s="583"/>
      <c r="E218" s="583"/>
      <c r="F218" s="583"/>
      <c r="G218" s="583"/>
      <c r="H218" s="583"/>
      <c r="I218" s="406">
        <f>SUM(I207:I217)</f>
        <v>0</v>
      </c>
      <c r="K218" s="242"/>
      <c r="L218" s="242"/>
      <c r="M218" s="242"/>
      <c r="N218" s="242"/>
      <c r="O218" s="242"/>
    </row>
    <row r="219" spans="1:15" ht="6" customHeight="1" x14ac:dyDescent="0.2">
      <c r="A219" s="407"/>
      <c r="B219" s="408"/>
      <c r="C219" s="408"/>
      <c r="D219" s="409"/>
      <c r="E219" s="408"/>
      <c r="F219" s="410"/>
      <c r="G219" s="411"/>
      <c r="H219" s="431"/>
      <c r="I219" s="449"/>
      <c r="K219" s="242"/>
      <c r="L219" s="242"/>
      <c r="M219" s="242"/>
      <c r="N219" s="242"/>
      <c r="O219" s="242"/>
    </row>
    <row r="220" spans="1:15" s="260" customFormat="1" ht="18" customHeight="1" x14ac:dyDescent="0.2">
      <c r="A220" s="393" t="s">
        <v>557</v>
      </c>
      <c r="B220" s="394"/>
      <c r="C220" s="394"/>
      <c r="D220" s="395" t="s">
        <v>52</v>
      </c>
      <c r="E220" s="396"/>
      <c r="F220" s="396"/>
      <c r="G220" s="393"/>
      <c r="H220" s="393"/>
      <c r="I220" s="397"/>
      <c r="K220" s="242"/>
      <c r="L220" s="242"/>
      <c r="M220" s="242"/>
      <c r="N220" s="242"/>
      <c r="O220" s="242"/>
    </row>
    <row r="221" spans="1:15" s="260" customFormat="1" ht="25.5" x14ac:dyDescent="0.2">
      <c r="A221" s="423" t="s">
        <v>558</v>
      </c>
      <c r="B221" s="400"/>
      <c r="C221" s="424"/>
      <c r="D221" s="418" t="s">
        <v>667</v>
      </c>
      <c r="E221" s="425"/>
      <c r="F221" s="426"/>
      <c r="G221" s="426"/>
      <c r="H221" s="404"/>
      <c r="I221" s="421"/>
      <c r="J221" s="126"/>
      <c r="K221" s="242"/>
      <c r="L221" s="242"/>
      <c r="M221" s="242"/>
      <c r="N221" s="242"/>
      <c r="O221" s="242"/>
    </row>
    <row r="222" spans="1:15" s="126" customFormat="1" ht="48.75" customHeight="1" x14ac:dyDescent="0.2">
      <c r="A222" s="422" t="s">
        <v>759</v>
      </c>
      <c r="B222" s="505" t="s">
        <v>466</v>
      </c>
      <c r="C222" s="400" t="s">
        <v>644</v>
      </c>
      <c r="D222" s="429" t="s">
        <v>465</v>
      </c>
      <c r="E222" s="430" t="s">
        <v>114</v>
      </c>
      <c r="F222" s="463">
        <v>107.75</v>
      </c>
      <c r="G222" s="463"/>
      <c r="H222" s="403">
        <f>G222*(1+$I$2)</f>
        <v>0</v>
      </c>
      <c r="I222" s="405">
        <f t="shared" ref="I222" si="32">ROUND(F222*H222,2)</f>
        <v>0</v>
      </c>
    </row>
    <row r="223" spans="1:15" s="73" customFormat="1" ht="18" customHeight="1" x14ac:dyDescent="0.2">
      <c r="A223" s="583" t="s">
        <v>629</v>
      </c>
      <c r="B223" s="583"/>
      <c r="C223" s="583"/>
      <c r="D223" s="583"/>
      <c r="E223" s="583"/>
      <c r="F223" s="583"/>
      <c r="G223" s="583"/>
      <c r="H223" s="583"/>
      <c r="I223" s="406">
        <f>SUM(I222)</f>
        <v>0</v>
      </c>
      <c r="K223" s="242"/>
      <c r="L223" s="242"/>
      <c r="M223" s="242"/>
      <c r="N223" s="242"/>
      <c r="O223" s="242"/>
    </row>
    <row r="224" spans="1:15" ht="6" customHeight="1" x14ac:dyDescent="0.2">
      <c r="A224" s="407"/>
      <c r="B224" s="408"/>
      <c r="C224" s="408"/>
      <c r="D224" s="409"/>
      <c r="E224" s="408"/>
      <c r="F224" s="410"/>
      <c r="G224" s="411"/>
      <c r="H224" s="431"/>
      <c r="I224" s="449"/>
      <c r="K224" s="242"/>
      <c r="L224" s="242"/>
      <c r="M224" s="242"/>
      <c r="N224" s="242"/>
      <c r="O224" s="242"/>
    </row>
    <row r="225" spans="1:15" s="260" customFormat="1" ht="18" customHeight="1" x14ac:dyDescent="0.2">
      <c r="A225" s="393" t="s">
        <v>559</v>
      </c>
      <c r="B225" s="394"/>
      <c r="C225" s="394"/>
      <c r="D225" s="395" t="s">
        <v>669</v>
      </c>
      <c r="E225" s="396"/>
      <c r="F225" s="396"/>
      <c r="G225" s="393"/>
      <c r="H225" s="393"/>
      <c r="I225" s="397"/>
      <c r="K225" s="242"/>
      <c r="L225" s="242"/>
      <c r="M225" s="242"/>
      <c r="N225" s="242"/>
      <c r="O225" s="242"/>
    </row>
    <row r="226" spans="1:15" s="126" customFormat="1" ht="30" customHeight="1" x14ac:dyDescent="0.2">
      <c r="A226" s="422" t="s">
        <v>560</v>
      </c>
      <c r="B226" s="505" t="s">
        <v>405</v>
      </c>
      <c r="C226" s="400" t="s">
        <v>644</v>
      </c>
      <c r="D226" s="401" t="s">
        <v>420</v>
      </c>
      <c r="E226" s="462" t="s">
        <v>114</v>
      </c>
      <c r="F226" s="463">
        <v>4.4800000000000004</v>
      </c>
      <c r="G226" s="463"/>
      <c r="H226" s="403">
        <f>G226*(1+$I$2)</f>
        <v>0</v>
      </c>
      <c r="I226" s="405">
        <f t="shared" ref="I226:I227" si="33">ROUND(F226*H226,2)</f>
        <v>0</v>
      </c>
    </row>
    <row r="227" spans="1:15" s="126" customFormat="1" ht="38.25" x14ac:dyDescent="0.2">
      <c r="A227" s="422" t="s">
        <v>561</v>
      </c>
      <c r="B227" s="505" t="s">
        <v>504</v>
      </c>
      <c r="C227" s="398" t="s">
        <v>379</v>
      </c>
      <c r="D227" s="401" t="s">
        <v>670</v>
      </c>
      <c r="E227" s="462" t="s">
        <v>114</v>
      </c>
      <c r="F227" s="463">
        <v>4.4800000000000004</v>
      </c>
      <c r="G227" s="463"/>
      <c r="H227" s="403">
        <f>G227*(1+$I$2)</f>
        <v>0</v>
      </c>
      <c r="I227" s="405">
        <f t="shared" si="33"/>
        <v>0</v>
      </c>
    </row>
    <row r="228" spans="1:15" s="73" customFormat="1" ht="18" customHeight="1" x14ac:dyDescent="0.2">
      <c r="A228" s="583" t="s">
        <v>630</v>
      </c>
      <c r="B228" s="583"/>
      <c r="C228" s="583"/>
      <c r="D228" s="583"/>
      <c r="E228" s="583"/>
      <c r="F228" s="583"/>
      <c r="G228" s="583"/>
      <c r="H228" s="583"/>
      <c r="I228" s="406">
        <f>SUM(I226:I227)</f>
        <v>0</v>
      </c>
      <c r="K228" s="242"/>
      <c r="L228" s="242"/>
      <c r="M228" s="242"/>
      <c r="N228" s="242"/>
      <c r="O228" s="242"/>
    </row>
    <row r="229" spans="1:15" ht="6" customHeight="1" x14ac:dyDescent="0.2">
      <c r="A229" s="407"/>
      <c r="B229" s="408"/>
      <c r="C229" s="408"/>
      <c r="D229" s="409"/>
      <c r="E229" s="408"/>
      <c r="F229" s="410"/>
      <c r="G229" s="411"/>
      <c r="H229" s="431"/>
      <c r="I229" s="449"/>
      <c r="K229" s="242"/>
      <c r="L229" s="242"/>
      <c r="M229" s="242"/>
      <c r="N229" s="242"/>
      <c r="O229" s="242"/>
    </row>
    <row r="230" spans="1:15" s="260" customFormat="1" ht="18" customHeight="1" x14ac:dyDescent="0.2">
      <c r="A230" s="393" t="s">
        <v>562</v>
      </c>
      <c r="B230" s="394"/>
      <c r="C230" s="394"/>
      <c r="D230" s="395" t="s">
        <v>671</v>
      </c>
      <c r="E230" s="396"/>
      <c r="F230" s="396"/>
      <c r="G230" s="393"/>
      <c r="H230" s="393"/>
      <c r="I230" s="397"/>
      <c r="K230" s="242"/>
      <c r="L230" s="242"/>
      <c r="M230" s="242"/>
      <c r="N230" s="242"/>
      <c r="O230" s="242"/>
    </row>
    <row r="231" spans="1:15" s="126" customFormat="1" ht="42.75" customHeight="1" x14ac:dyDescent="0.2">
      <c r="A231" s="422" t="s">
        <v>563</v>
      </c>
      <c r="B231" s="505" t="s">
        <v>509</v>
      </c>
      <c r="C231" s="398" t="s">
        <v>379</v>
      </c>
      <c r="D231" s="401" t="s">
        <v>672</v>
      </c>
      <c r="E231" s="462" t="s">
        <v>114</v>
      </c>
      <c r="F231" s="463">
        <v>238.42</v>
      </c>
      <c r="G231" s="403"/>
      <c r="H231" s="403">
        <f>G231*(1+$I$2)</f>
        <v>0</v>
      </c>
      <c r="I231" s="405">
        <f t="shared" ref="I231:I235" si="34">ROUND(F231*H231,2)</f>
        <v>0</v>
      </c>
    </row>
    <row r="232" spans="1:15" s="126" customFormat="1" ht="51" x14ac:dyDescent="0.2">
      <c r="A232" s="422" t="s">
        <v>564</v>
      </c>
      <c r="B232" s="505" t="s">
        <v>503</v>
      </c>
      <c r="C232" s="398" t="s">
        <v>379</v>
      </c>
      <c r="D232" s="401" t="s">
        <v>673</v>
      </c>
      <c r="E232" s="462" t="s">
        <v>114</v>
      </c>
      <c r="F232" s="463">
        <v>121.39</v>
      </c>
      <c r="G232" s="403"/>
      <c r="H232" s="403">
        <f>G232*(1+$I$2)</f>
        <v>0</v>
      </c>
      <c r="I232" s="405">
        <f t="shared" si="34"/>
        <v>0</v>
      </c>
    </row>
    <row r="233" spans="1:15" s="130" customFormat="1" ht="38.25" x14ac:dyDescent="0.2">
      <c r="A233" s="422" t="s">
        <v>565</v>
      </c>
      <c r="B233" s="428" t="s">
        <v>505</v>
      </c>
      <c r="C233" s="398" t="s">
        <v>589</v>
      </c>
      <c r="D233" s="401" t="s">
        <v>519</v>
      </c>
      <c r="E233" s="400" t="s">
        <v>114</v>
      </c>
      <c r="F233" s="403">
        <v>92.87</v>
      </c>
      <c r="G233" s="403"/>
      <c r="H233" s="403">
        <f>G233*(1+$I$2)</f>
        <v>0</v>
      </c>
      <c r="I233" s="405">
        <f t="shared" si="34"/>
        <v>0</v>
      </c>
    </row>
    <row r="234" spans="1:15" s="126" customFormat="1" ht="30" customHeight="1" x14ac:dyDescent="0.2">
      <c r="A234" s="422" t="s">
        <v>566</v>
      </c>
      <c r="B234" s="505" t="s">
        <v>674</v>
      </c>
      <c r="C234" s="400" t="s">
        <v>644</v>
      </c>
      <c r="D234" s="401" t="s">
        <v>381</v>
      </c>
      <c r="E234" s="462" t="s">
        <v>114</v>
      </c>
      <c r="F234" s="463">
        <v>24.16</v>
      </c>
      <c r="G234" s="403"/>
      <c r="H234" s="403">
        <f>G234*(1+$I$2)</f>
        <v>0</v>
      </c>
      <c r="I234" s="405">
        <f t="shared" si="34"/>
        <v>0</v>
      </c>
    </row>
    <row r="235" spans="1:15" s="141" customFormat="1" ht="54" customHeight="1" x14ac:dyDescent="0.2">
      <c r="A235" s="422" t="s">
        <v>567</v>
      </c>
      <c r="B235" s="505" t="s">
        <v>506</v>
      </c>
      <c r="C235" s="398" t="s">
        <v>379</v>
      </c>
      <c r="D235" s="401" t="s">
        <v>675</v>
      </c>
      <c r="E235" s="462" t="s">
        <v>114</v>
      </c>
      <c r="F235" s="463">
        <v>24.16</v>
      </c>
      <c r="G235" s="403"/>
      <c r="H235" s="403">
        <f>G235*(1+$I$2)</f>
        <v>0</v>
      </c>
      <c r="I235" s="405">
        <f t="shared" si="34"/>
        <v>0</v>
      </c>
      <c r="K235" s="126"/>
      <c r="L235" s="126"/>
      <c r="M235" s="126"/>
      <c r="N235" s="126"/>
      <c r="O235" s="126"/>
    </row>
    <row r="236" spans="1:15" s="141" customFormat="1" ht="18.75" customHeight="1" x14ac:dyDescent="0.2">
      <c r="A236" s="583" t="s">
        <v>631</v>
      </c>
      <c r="B236" s="583"/>
      <c r="C236" s="583"/>
      <c r="D236" s="583"/>
      <c r="E236" s="583"/>
      <c r="F236" s="583"/>
      <c r="G236" s="583"/>
      <c r="H236" s="583"/>
      <c r="I236" s="406">
        <f>SUM(I231:I235)</f>
        <v>0</v>
      </c>
      <c r="K236" s="242"/>
      <c r="L236" s="242"/>
      <c r="M236" s="242"/>
      <c r="N236" s="242"/>
      <c r="O236" s="242"/>
    </row>
    <row r="237" spans="1:15" s="141" customFormat="1" ht="6.75" customHeight="1" x14ac:dyDescent="0.2">
      <c r="A237" s="455"/>
      <c r="B237" s="456"/>
      <c r="C237" s="456"/>
      <c r="D237" s="464"/>
      <c r="E237" s="456"/>
      <c r="F237" s="458"/>
      <c r="G237" s="459"/>
      <c r="H237" s="460"/>
      <c r="I237" s="461"/>
      <c r="K237" s="242"/>
      <c r="L237" s="242"/>
      <c r="M237" s="242"/>
      <c r="N237" s="242"/>
      <c r="O237" s="242"/>
    </row>
    <row r="238" spans="1:15" s="241" customFormat="1" ht="19.5" customHeight="1" x14ac:dyDescent="0.2">
      <c r="A238" s="433" t="s">
        <v>568</v>
      </c>
      <c r="B238" s="434"/>
      <c r="C238" s="435"/>
      <c r="D238" s="447" t="s">
        <v>692</v>
      </c>
      <c r="E238" s="434"/>
      <c r="F238" s="436"/>
      <c r="G238" s="436"/>
      <c r="H238" s="437"/>
      <c r="I238" s="438"/>
      <c r="K238" s="242"/>
      <c r="L238" s="242"/>
      <c r="M238" s="242"/>
      <c r="N238" s="242"/>
      <c r="O238" s="242"/>
    </row>
    <row r="239" spans="1:15" s="241" customFormat="1" ht="15" customHeight="1" x14ac:dyDescent="0.2">
      <c r="A239" s="439" t="s">
        <v>569</v>
      </c>
      <c r="B239" s="440"/>
      <c r="C239" s="441"/>
      <c r="D239" s="442" t="s">
        <v>676</v>
      </c>
      <c r="E239" s="400"/>
      <c r="F239" s="425"/>
      <c r="G239" s="425"/>
      <c r="H239" s="443"/>
      <c r="I239" s="426"/>
      <c r="K239" s="242"/>
      <c r="L239" s="242"/>
      <c r="M239" s="242"/>
      <c r="N239" s="242"/>
      <c r="O239" s="242"/>
    </row>
    <row r="240" spans="1:15" s="130" customFormat="1" ht="25.5" x14ac:dyDescent="0.2">
      <c r="A240" s="422" t="s">
        <v>760</v>
      </c>
      <c r="B240" s="505" t="s">
        <v>415</v>
      </c>
      <c r="C240" s="465" t="s">
        <v>379</v>
      </c>
      <c r="D240" s="401" t="s">
        <v>679</v>
      </c>
      <c r="E240" s="462" t="s">
        <v>27</v>
      </c>
      <c r="F240" s="463">
        <v>49.8</v>
      </c>
      <c r="G240" s="403"/>
      <c r="H240" s="403">
        <f>G240*(1+$I$2)</f>
        <v>0</v>
      </c>
      <c r="I240" s="405">
        <f t="shared" ref="I240:I250" si="35">ROUND(F240*H240,2)</f>
        <v>0</v>
      </c>
      <c r="K240" s="126"/>
      <c r="L240" s="126"/>
      <c r="M240" s="126"/>
      <c r="N240" s="126"/>
      <c r="O240" s="126"/>
    </row>
    <row r="241" spans="1:15" s="130" customFormat="1" ht="25.5" x14ac:dyDescent="0.2">
      <c r="A241" s="422" t="s">
        <v>761</v>
      </c>
      <c r="B241" s="505" t="s">
        <v>408</v>
      </c>
      <c r="C241" s="465" t="s">
        <v>379</v>
      </c>
      <c r="D241" s="401" t="s">
        <v>680</v>
      </c>
      <c r="E241" s="462" t="s">
        <v>67</v>
      </c>
      <c r="F241" s="463">
        <v>4</v>
      </c>
      <c r="G241" s="403"/>
      <c r="H241" s="403">
        <f>G241*(1+$I$2)</f>
        <v>0</v>
      </c>
      <c r="I241" s="405">
        <f t="shared" si="35"/>
        <v>0</v>
      </c>
      <c r="K241" s="126"/>
      <c r="L241" s="126"/>
      <c r="M241" s="126"/>
      <c r="N241" s="126"/>
      <c r="O241" s="126"/>
    </row>
    <row r="242" spans="1:15" s="241" customFormat="1" ht="16.5" customHeight="1" x14ac:dyDescent="0.2">
      <c r="A242" s="439" t="s">
        <v>583</v>
      </c>
      <c r="B242" s="440"/>
      <c r="C242" s="441"/>
      <c r="D242" s="442" t="s">
        <v>681</v>
      </c>
      <c r="E242" s="400"/>
      <c r="F242" s="425"/>
      <c r="G242" s="425"/>
      <c r="H242" s="404"/>
      <c r="I242" s="405"/>
      <c r="K242" s="242"/>
      <c r="L242" s="242"/>
      <c r="M242" s="242"/>
      <c r="N242" s="242"/>
      <c r="O242" s="242"/>
    </row>
    <row r="243" spans="1:15" s="130" customFormat="1" ht="25.5" x14ac:dyDescent="0.2">
      <c r="A243" s="422" t="s">
        <v>762</v>
      </c>
      <c r="B243" s="505" t="s">
        <v>767</v>
      </c>
      <c r="C243" s="465" t="s">
        <v>379</v>
      </c>
      <c r="D243" s="445" t="s">
        <v>685</v>
      </c>
      <c r="E243" s="462" t="s">
        <v>67</v>
      </c>
      <c r="F243" s="463">
        <v>1</v>
      </c>
      <c r="G243" s="425"/>
      <c r="H243" s="403">
        <f>G243*(1+$I$2)</f>
        <v>0</v>
      </c>
      <c r="I243" s="405">
        <f t="shared" si="35"/>
        <v>0</v>
      </c>
      <c r="K243" s="126"/>
      <c r="L243" s="126"/>
      <c r="M243" s="126"/>
      <c r="N243" s="126"/>
      <c r="O243" s="126"/>
    </row>
    <row r="244" spans="1:15" s="130" customFormat="1" ht="25.5" x14ac:dyDescent="0.2">
      <c r="A244" s="422" t="s">
        <v>763</v>
      </c>
      <c r="B244" s="505" t="s">
        <v>768</v>
      </c>
      <c r="C244" s="465" t="s">
        <v>379</v>
      </c>
      <c r="D244" s="445" t="s">
        <v>686</v>
      </c>
      <c r="E244" s="462" t="s">
        <v>67</v>
      </c>
      <c r="F244" s="463">
        <v>2</v>
      </c>
      <c r="G244" s="425"/>
      <c r="H244" s="403">
        <f>G244*(1+$I$2)</f>
        <v>0</v>
      </c>
      <c r="I244" s="405">
        <f t="shared" si="35"/>
        <v>0</v>
      </c>
      <c r="K244" s="126"/>
      <c r="L244" s="126"/>
      <c r="M244" s="126"/>
      <c r="N244" s="126"/>
      <c r="O244" s="126"/>
    </row>
    <row r="245" spans="1:15" s="130" customFormat="1" ht="25.5" x14ac:dyDescent="0.2">
      <c r="A245" s="422" t="s">
        <v>764</v>
      </c>
      <c r="B245" s="505" t="s">
        <v>913</v>
      </c>
      <c r="C245" s="465" t="s">
        <v>379</v>
      </c>
      <c r="D245" s="445" t="s">
        <v>687</v>
      </c>
      <c r="E245" s="462" t="s">
        <v>67</v>
      </c>
      <c r="F245" s="463">
        <v>2</v>
      </c>
      <c r="G245" s="425"/>
      <c r="H245" s="403">
        <f>G245*(1+$I$2)</f>
        <v>0</v>
      </c>
      <c r="I245" s="405">
        <f t="shared" si="35"/>
        <v>0</v>
      </c>
      <c r="K245" s="126"/>
      <c r="L245" s="126"/>
      <c r="M245" s="126"/>
      <c r="N245" s="126"/>
      <c r="O245" s="126"/>
    </row>
    <row r="246" spans="1:15" s="126" customFormat="1" x14ac:dyDescent="0.2">
      <c r="A246" s="422" t="s">
        <v>765</v>
      </c>
      <c r="B246" s="428" t="s">
        <v>571</v>
      </c>
      <c r="C246" s="398" t="s">
        <v>379</v>
      </c>
      <c r="D246" s="401" t="s">
        <v>766</v>
      </c>
      <c r="E246" s="400" t="s">
        <v>410</v>
      </c>
      <c r="F246" s="463">
        <v>1</v>
      </c>
      <c r="G246" s="425"/>
      <c r="H246" s="403">
        <f>G246*(1+$I$2)</f>
        <v>0</v>
      </c>
      <c r="I246" s="405">
        <f t="shared" si="35"/>
        <v>0</v>
      </c>
    </row>
    <row r="247" spans="1:15" s="241" customFormat="1" ht="16.5" customHeight="1" x14ac:dyDescent="0.2">
      <c r="A247" s="439" t="s">
        <v>584</v>
      </c>
      <c r="B247" s="440"/>
      <c r="C247" s="441"/>
      <c r="D247" s="442" t="s">
        <v>688</v>
      </c>
      <c r="E247" s="400"/>
      <c r="F247" s="425"/>
      <c r="G247" s="425"/>
      <c r="H247" s="404"/>
      <c r="I247" s="405"/>
      <c r="K247" s="242"/>
      <c r="L247" s="242"/>
      <c r="M247" s="242"/>
      <c r="N247" s="242"/>
      <c r="O247" s="242"/>
    </row>
    <row r="248" spans="1:15" s="126" customFormat="1" ht="49.5" customHeight="1" x14ac:dyDescent="0.2">
      <c r="A248" s="422" t="s">
        <v>892</v>
      </c>
      <c r="B248" s="428" t="s">
        <v>570</v>
      </c>
      <c r="C248" s="398" t="s">
        <v>379</v>
      </c>
      <c r="D248" s="401" t="s">
        <v>771</v>
      </c>
      <c r="E248" s="400" t="s">
        <v>410</v>
      </c>
      <c r="F248" s="463">
        <v>1</v>
      </c>
      <c r="G248" s="463"/>
      <c r="H248" s="403">
        <f>G248*(1+$I$2)</f>
        <v>0</v>
      </c>
      <c r="I248" s="405">
        <f t="shared" si="35"/>
        <v>0</v>
      </c>
      <c r="J248" s="130"/>
    </row>
    <row r="249" spans="1:15" s="130" customFormat="1" ht="25.5" x14ac:dyDescent="0.2">
      <c r="A249" s="422" t="s">
        <v>769</v>
      </c>
      <c r="B249" s="505" t="s">
        <v>502</v>
      </c>
      <c r="C249" s="398" t="s">
        <v>379</v>
      </c>
      <c r="D249" s="445" t="s">
        <v>694</v>
      </c>
      <c r="E249" s="462" t="s">
        <v>67</v>
      </c>
      <c r="F249" s="463">
        <v>2</v>
      </c>
      <c r="G249" s="463"/>
      <c r="H249" s="403">
        <f>G249*(1+$I$2)</f>
        <v>0</v>
      </c>
      <c r="I249" s="405">
        <f t="shared" si="35"/>
        <v>0</v>
      </c>
      <c r="K249" s="126"/>
      <c r="L249" s="126"/>
      <c r="M249" s="126"/>
      <c r="N249" s="126"/>
      <c r="O249" s="126"/>
    </row>
    <row r="250" spans="1:15" s="130" customFormat="1" ht="25.5" x14ac:dyDescent="0.2">
      <c r="A250" s="422" t="s">
        <v>770</v>
      </c>
      <c r="B250" s="505" t="s">
        <v>501</v>
      </c>
      <c r="C250" s="465" t="s">
        <v>379</v>
      </c>
      <c r="D250" s="445" t="s">
        <v>695</v>
      </c>
      <c r="E250" s="462" t="s">
        <v>67</v>
      </c>
      <c r="F250" s="463">
        <v>2</v>
      </c>
      <c r="G250" s="463"/>
      <c r="H250" s="403">
        <f>G250*(1+$I$2)</f>
        <v>0</v>
      </c>
      <c r="I250" s="405">
        <f t="shared" si="35"/>
        <v>0</v>
      </c>
      <c r="K250" s="126"/>
      <c r="L250" s="126"/>
      <c r="M250" s="126"/>
      <c r="N250" s="126"/>
      <c r="O250" s="126"/>
    </row>
    <row r="251" spans="1:15" s="141" customFormat="1" ht="18.75" customHeight="1" x14ac:dyDescent="0.2">
      <c r="A251" s="583" t="s">
        <v>632</v>
      </c>
      <c r="B251" s="583"/>
      <c r="C251" s="583"/>
      <c r="D251" s="583"/>
      <c r="E251" s="583"/>
      <c r="F251" s="583"/>
      <c r="G251" s="583"/>
      <c r="H251" s="583"/>
      <c r="I251" s="406">
        <f>SUM(I239:I250)</f>
        <v>0</v>
      </c>
      <c r="K251" s="242"/>
      <c r="L251" s="242"/>
      <c r="M251" s="242"/>
      <c r="N251" s="242"/>
      <c r="O251" s="242"/>
    </row>
    <row r="252" spans="1:15" s="141" customFormat="1" ht="6.75" customHeight="1" x14ac:dyDescent="0.2">
      <c r="A252" s="455"/>
      <c r="B252" s="456"/>
      <c r="C252" s="456"/>
      <c r="D252" s="464"/>
      <c r="E252" s="456"/>
      <c r="F252" s="458"/>
      <c r="G252" s="459"/>
      <c r="H252" s="460"/>
      <c r="I252" s="461"/>
      <c r="K252" s="242"/>
      <c r="L252" s="242"/>
      <c r="M252" s="242"/>
      <c r="N252" s="242"/>
      <c r="O252" s="242"/>
    </row>
    <row r="253" spans="1:15" s="261" customFormat="1" ht="15.75" customHeight="1" x14ac:dyDescent="0.2">
      <c r="A253" s="433" t="s">
        <v>585</v>
      </c>
      <c r="B253" s="434"/>
      <c r="C253" s="435"/>
      <c r="D253" s="395" t="s">
        <v>696</v>
      </c>
      <c r="E253" s="434"/>
      <c r="F253" s="436"/>
      <c r="G253" s="436"/>
      <c r="H253" s="437"/>
      <c r="I253" s="438"/>
      <c r="K253" s="242"/>
      <c r="L253" s="242"/>
      <c r="M253" s="242"/>
      <c r="N253" s="242"/>
      <c r="O253" s="242"/>
    </row>
    <row r="254" spans="1:15" s="241" customFormat="1" ht="15.75" customHeight="1" x14ac:dyDescent="0.2">
      <c r="A254" s="439" t="s">
        <v>586</v>
      </c>
      <c r="B254" s="440"/>
      <c r="C254" s="441"/>
      <c r="D254" s="442" t="s">
        <v>697</v>
      </c>
      <c r="E254" s="400"/>
      <c r="F254" s="425"/>
      <c r="G254" s="425"/>
      <c r="H254" s="443"/>
      <c r="I254" s="426"/>
      <c r="K254" s="242"/>
      <c r="L254" s="242"/>
      <c r="M254" s="242"/>
      <c r="N254" s="242"/>
      <c r="O254" s="242"/>
    </row>
    <row r="255" spans="1:15" s="130" customFormat="1" ht="32.25" customHeight="1" x14ac:dyDescent="0.2">
      <c r="A255" s="422" t="s">
        <v>772</v>
      </c>
      <c r="B255" s="428" t="s">
        <v>507</v>
      </c>
      <c r="C255" s="398" t="s">
        <v>589</v>
      </c>
      <c r="D255" s="401" t="s">
        <v>508</v>
      </c>
      <c r="E255" s="400" t="s">
        <v>114</v>
      </c>
      <c r="F255" s="403">
        <v>4.5999999999999996</v>
      </c>
      <c r="G255" s="425"/>
      <c r="H255" s="403">
        <f>G255*(1+$I$2)</f>
        <v>0</v>
      </c>
      <c r="I255" s="405">
        <f t="shared" ref="I255:I257" si="36">ROUND(F255*H255,2)</f>
        <v>0</v>
      </c>
    </row>
    <row r="256" spans="1:15" s="126" customFormat="1" ht="32.25" customHeight="1" x14ac:dyDescent="0.2">
      <c r="A256" s="422" t="s">
        <v>773</v>
      </c>
      <c r="B256" s="505" t="s">
        <v>407</v>
      </c>
      <c r="C256" s="400" t="s">
        <v>644</v>
      </c>
      <c r="D256" s="509" t="s">
        <v>243</v>
      </c>
      <c r="E256" s="462" t="s">
        <v>114</v>
      </c>
      <c r="F256" s="463">
        <v>0.18</v>
      </c>
      <c r="G256" s="425"/>
      <c r="H256" s="403">
        <f>G256*(1+$I$2)</f>
        <v>0</v>
      </c>
      <c r="I256" s="405">
        <f t="shared" si="36"/>
        <v>0</v>
      </c>
    </row>
    <row r="257" spans="1:15" s="126" customFormat="1" ht="25.5" x14ac:dyDescent="0.2">
      <c r="A257" s="422" t="s">
        <v>774</v>
      </c>
      <c r="B257" s="428" t="s">
        <v>775</v>
      </c>
      <c r="C257" s="400" t="s">
        <v>644</v>
      </c>
      <c r="D257" s="509" t="s">
        <v>352</v>
      </c>
      <c r="E257" s="462" t="s">
        <v>27</v>
      </c>
      <c r="F257" s="463">
        <v>5</v>
      </c>
      <c r="G257" s="425"/>
      <c r="H257" s="403">
        <f>G257*(1+$I$2)</f>
        <v>0</v>
      </c>
      <c r="I257" s="405">
        <f t="shared" si="36"/>
        <v>0</v>
      </c>
    </row>
    <row r="258" spans="1:15" s="141" customFormat="1" ht="18.75" customHeight="1" x14ac:dyDescent="0.2">
      <c r="A258" s="583" t="s">
        <v>633</v>
      </c>
      <c r="B258" s="583"/>
      <c r="C258" s="583"/>
      <c r="D258" s="583"/>
      <c r="E258" s="583"/>
      <c r="F258" s="583"/>
      <c r="G258" s="583"/>
      <c r="H258" s="583"/>
      <c r="I258" s="406">
        <f>SUM(I255:I257)</f>
        <v>0</v>
      </c>
      <c r="K258" s="242"/>
      <c r="L258" s="242"/>
      <c r="M258" s="242"/>
      <c r="N258" s="242"/>
      <c r="O258" s="242"/>
    </row>
    <row r="259" spans="1:15" s="141" customFormat="1" ht="6.75" customHeight="1" x14ac:dyDescent="0.2">
      <c r="A259" s="455"/>
      <c r="B259" s="456"/>
      <c r="C259" s="456"/>
      <c r="D259" s="464"/>
      <c r="E259" s="456"/>
      <c r="F259" s="458"/>
      <c r="G259" s="459"/>
      <c r="H259" s="460"/>
      <c r="I259" s="461"/>
      <c r="K259" s="242"/>
      <c r="L259" s="242"/>
      <c r="M259" s="242"/>
      <c r="N259" s="242"/>
      <c r="O259" s="242"/>
    </row>
    <row r="260" spans="1:15" s="261" customFormat="1" ht="15.75" customHeight="1" x14ac:dyDescent="0.2">
      <c r="A260" s="433" t="s">
        <v>634</v>
      </c>
      <c r="B260" s="434"/>
      <c r="C260" s="435"/>
      <c r="D260" s="447" t="s">
        <v>602</v>
      </c>
      <c r="E260" s="434"/>
      <c r="F260" s="436"/>
      <c r="G260" s="436"/>
      <c r="H260" s="437"/>
      <c r="I260" s="438"/>
      <c r="K260" s="242"/>
      <c r="L260" s="242"/>
      <c r="M260" s="242"/>
      <c r="N260" s="242"/>
      <c r="O260" s="242"/>
    </row>
    <row r="261" spans="1:15" s="241" customFormat="1" ht="15.75" customHeight="1" x14ac:dyDescent="0.2">
      <c r="A261" s="439" t="s">
        <v>635</v>
      </c>
      <c r="B261" s="440"/>
      <c r="C261" s="441"/>
      <c r="D261" s="442" t="s">
        <v>702</v>
      </c>
      <c r="E261" s="400"/>
      <c r="F261" s="425"/>
      <c r="G261" s="425"/>
      <c r="H261" s="443"/>
      <c r="I261" s="426"/>
      <c r="K261" s="242"/>
      <c r="L261" s="242"/>
      <c r="M261" s="242"/>
      <c r="N261" s="242"/>
      <c r="O261" s="242"/>
    </row>
    <row r="262" spans="1:15" s="130" customFormat="1" ht="30" customHeight="1" x14ac:dyDescent="0.2">
      <c r="A262" s="398" t="s">
        <v>893</v>
      </c>
      <c r="B262" s="505" t="s">
        <v>409</v>
      </c>
      <c r="C262" s="400" t="s">
        <v>644</v>
      </c>
      <c r="D262" s="509" t="s">
        <v>231</v>
      </c>
      <c r="E262" s="462" t="s">
        <v>114</v>
      </c>
      <c r="F262" s="463">
        <v>4.78</v>
      </c>
      <c r="G262" s="463"/>
      <c r="H262" s="403">
        <f>G262*(1+$I$2)</f>
        <v>0</v>
      </c>
      <c r="I262" s="405">
        <f t="shared" ref="I262" si="37">ROUND(F262*H262,2)</f>
        <v>0</v>
      </c>
      <c r="K262" s="126"/>
      <c r="L262" s="126"/>
      <c r="M262" s="126"/>
      <c r="N262" s="126"/>
      <c r="O262" s="126"/>
    </row>
    <row r="263" spans="1:15" s="130" customFormat="1" ht="17.25" customHeight="1" x14ac:dyDescent="0.2">
      <c r="A263" s="583" t="s">
        <v>636</v>
      </c>
      <c r="B263" s="583"/>
      <c r="C263" s="583"/>
      <c r="D263" s="583"/>
      <c r="E263" s="583"/>
      <c r="F263" s="583"/>
      <c r="G263" s="583"/>
      <c r="H263" s="583"/>
      <c r="I263" s="406">
        <f>SUM(I262)</f>
        <v>0</v>
      </c>
      <c r="K263" s="242"/>
      <c r="L263" s="242"/>
      <c r="M263" s="242"/>
      <c r="N263" s="242"/>
      <c r="O263" s="242"/>
    </row>
    <row r="264" spans="1:15" s="130" customFormat="1" ht="6" customHeight="1" x14ac:dyDescent="0.2">
      <c r="A264" s="455"/>
      <c r="B264" s="456"/>
      <c r="C264" s="456"/>
      <c r="D264" s="464"/>
      <c r="E264" s="456"/>
      <c r="F264" s="458"/>
      <c r="G264" s="459"/>
      <c r="H264" s="460"/>
      <c r="I264" s="461"/>
      <c r="K264" s="242"/>
      <c r="L264" s="242"/>
      <c r="M264" s="242"/>
      <c r="N264" s="242"/>
      <c r="O264" s="242"/>
    </row>
    <row r="265" spans="1:15" s="261" customFormat="1" ht="15.75" customHeight="1" x14ac:dyDescent="0.2">
      <c r="A265" s="433" t="s">
        <v>637</v>
      </c>
      <c r="B265" s="434"/>
      <c r="C265" s="435"/>
      <c r="D265" s="447" t="s">
        <v>71</v>
      </c>
      <c r="E265" s="434"/>
      <c r="F265" s="436"/>
      <c r="G265" s="436"/>
      <c r="H265" s="437"/>
      <c r="I265" s="438"/>
      <c r="K265" s="242"/>
      <c r="L265" s="242"/>
      <c r="M265" s="242"/>
      <c r="N265" s="242"/>
      <c r="O265" s="242"/>
    </row>
    <row r="266" spans="1:15" s="241" customFormat="1" ht="15.75" customHeight="1" x14ac:dyDescent="0.2">
      <c r="A266" s="439" t="s">
        <v>638</v>
      </c>
      <c r="B266" s="440"/>
      <c r="C266" s="441"/>
      <c r="D266" s="442" t="s">
        <v>703</v>
      </c>
      <c r="E266" s="400"/>
      <c r="F266" s="425"/>
      <c r="G266" s="425"/>
      <c r="H266" s="443"/>
      <c r="I266" s="426"/>
      <c r="K266" s="242"/>
      <c r="L266" s="242"/>
      <c r="M266" s="242"/>
      <c r="N266" s="242"/>
      <c r="O266" s="242"/>
    </row>
    <row r="267" spans="1:15" s="126" customFormat="1" ht="56.25" customHeight="1" x14ac:dyDescent="0.2">
      <c r="A267" s="422" t="s">
        <v>776</v>
      </c>
      <c r="B267" s="428" t="s">
        <v>520</v>
      </c>
      <c r="C267" s="400" t="s">
        <v>644</v>
      </c>
      <c r="D267" s="401" t="s">
        <v>521</v>
      </c>
      <c r="E267" s="462" t="s">
        <v>114</v>
      </c>
      <c r="F267" s="463">
        <v>72.63</v>
      </c>
      <c r="G267" s="403"/>
      <c r="H267" s="403">
        <f>G267*(1+$I$2)</f>
        <v>0</v>
      </c>
      <c r="I267" s="405">
        <f t="shared" ref="I267:I270" si="38">ROUND(F267*H267,2)</f>
        <v>0</v>
      </c>
    </row>
    <row r="268" spans="1:15" s="241" customFormat="1" ht="15.75" customHeight="1" x14ac:dyDescent="0.2">
      <c r="A268" s="439" t="s">
        <v>777</v>
      </c>
      <c r="B268" s="440"/>
      <c r="C268" s="441"/>
      <c r="D268" s="442" t="s">
        <v>705</v>
      </c>
      <c r="E268" s="400"/>
      <c r="F268" s="425"/>
      <c r="G268" s="425"/>
      <c r="H268" s="404"/>
      <c r="I268" s="405"/>
      <c r="K268" s="242"/>
      <c r="L268" s="242"/>
      <c r="M268" s="242"/>
      <c r="N268" s="242"/>
      <c r="O268" s="242"/>
    </row>
    <row r="269" spans="1:15" s="141" customFormat="1" ht="30" customHeight="1" x14ac:dyDescent="0.2">
      <c r="A269" s="422" t="s">
        <v>778</v>
      </c>
      <c r="B269" s="505" t="s">
        <v>489</v>
      </c>
      <c r="C269" s="398" t="s">
        <v>379</v>
      </c>
      <c r="D269" s="401" t="s">
        <v>708</v>
      </c>
      <c r="E269" s="462" t="s">
        <v>114</v>
      </c>
      <c r="F269" s="463">
        <v>72.63</v>
      </c>
      <c r="G269" s="463"/>
      <c r="H269" s="403">
        <f>G269*(1+$I$2)</f>
        <v>0</v>
      </c>
      <c r="I269" s="405">
        <f t="shared" si="38"/>
        <v>0</v>
      </c>
      <c r="K269" s="126"/>
      <c r="L269" s="126"/>
      <c r="M269" s="126"/>
      <c r="N269" s="126"/>
      <c r="O269" s="126"/>
    </row>
    <row r="270" spans="1:15" s="141" customFormat="1" ht="38.25" x14ac:dyDescent="0.2">
      <c r="A270" s="422" t="s">
        <v>779</v>
      </c>
      <c r="B270" s="505" t="s">
        <v>490</v>
      </c>
      <c r="C270" s="398" t="s">
        <v>379</v>
      </c>
      <c r="D270" s="401" t="s">
        <v>709</v>
      </c>
      <c r="E270" s="400" t="s">
        <v>27</v>
      </c>
      <c r="F270" s="463">
        <v>7.32</v>
      </c>
      <c r="G270" s="463"/>
      <c r="H270" s="403">
        <f>G270*(1+$I$2)</f>
        <v>0</v>
      </c>
      <c r="I270" s="405">
        <f t="shared" si="38"/>
        <v>0</v>
      </c>
      <c r="K270" s="126"/>
      <c r="L270" s="126"/>
      <c r="M270" s="126"/>
      <c r="N270" s="126"/>
      <c r="O270" s="126"/>
    </row>
    <row r="271" spans="1:15" s="130" customFormat="1" ht="17.25" customHeight="1" x14ac:dyDescent="0.2">
      <c r="A271" s="583" t="s">
        <v>643</v>
      </c>
      <c r="B271" s="583"/>
      <c r="C271" s="583"/>
      <c r="D271" s="583"/>
      <c r="E271" s="583"/>
      <c r="F271" s="583"/>
      <c r="G271" s="583"/>
      <c r="H271" s="583"/>
      <c r="I271" s="406">
        <f>SUM(I267:I270)</f>
        <v>0</v>
      </c>
      <c r="K271" s="242"/>
      <c r="L271" s="242"/>
      <c r="M271" s="242"/>
      <c r="N271" s="242"/>
      <c r="O271" s="242"/>
    </row>
    <row r="272" spans="1:15" s="130" customFormat="1" ht="6" customHeight="1" x14ac:dyDescent="0.2">
      <c r="A272" s="455"/>
      <c r="B272" s="456"/>
      <c r="C272" s="456"/>
      <c r="D272" s="464"/>
      <c r="E272" s="456"/>
      <c r="F272" s="458"/>
      <c r="G272" s="459"/>
      <c r="H272" s="460"/>
      <c r="I272" s="461"/>
      <c r="K272" s="242"/>
      <c r="L272" s="242"/>
      <c r="M272" s="242"/>
      <c r="N272" s="242"/>
      <c r="O272" s="242"/>
    </row>
    <row r="273" spans="1:15" s="243" customFormat="1" ht="18.75" customHeight="1" x14ac:dyDescent="0.2">
      <c r="A273" s="433" t="s">
        <v>780</v>
      </c>
      <c r="B273" s="434"/>
      <c r="C273" s="435"/>
      <c r="D273" s="447" t="s">
        <v>710</v>
      </c>
      <c r="E273" s="434"/>
      <c r="F273" s="436"/>
      <c r="G273" s="436"/>
      <c r="H273" s="437"/>
      <c r="I273" s="438"/>
      <c r="K273" s="242"/>
      <c r="L273" s="242"/>
      <c r="M273" s="242"/>
      <c r="N273" s="242"/>
      <c r="O273" s="242"/>
    </row>
    <row r="274" spans="1:15" s="126" customFormat="1" ht="30" customHeight="1" x14ac:dyDescent="0.2">
      <c r="A274" s="422" t="s">
        <v>782</v>
      </c>
      <c r="B274" s="505" t="s">
        <v>399</v>
      </c>
      <c r="C274" s="400" t="s">
        <v>644</v>
      </c>
      <c r="D274" s="401" t="s">
        <v>781</v>
      </c>
      <c r="E274" s="462" t="s">
        <v>225</v>
      </c>
      <c r="F274" s="463">
        <v>5.59</v>
      </c>
      <c r="G274" s="463"/>
      <c r="H274" s="403">
        <f t="shared" ref="H274:H280" si="39">G274*(1+$I$2)</f>
        <v>0</v>
      </c>
      <c r="I274" s="405">
        <f t="shared" ref="I274:I280" si="40">ROUND(F274*H274,2)</f>
        <v>0</v>
      </c>
    </row>
    <row r="275" spans="1:15" s="129" customFormat="1" ht="25.5" x14ac:dyDescent="0.2">
      <c r="A275" s="422" t="s">
        <v>783</v>
      </c>
      <c r="B275" s="505" t="s">
        <v>711</v>
      </c>
      <c r="C275" s="400" t="s">
        <v>644</v>
      </c>
      <c r="D275" s="509" t="s">
        <v>389</v>
      </c>
      <c r="E275" s="462" t="s">
        <v>114</v>
      </c>
      <c r="F275" s="463">
        <v>43.07</v>
      </c>
      <c r="G275" s="463"/>
      <c r="H275" s="403">
        <f t="shared" si="39"/>
        <v>0</v>
      </c>
      <c r="I275" s="405">
        <f t="shared" si="40"/>
        <v>0</v>
      </c>
      <c r="K275" s="126"/>
      <c r="L275" s="126"/>
      <c r="M275" s="126"/>
      <c r="N275" s="126"/>
      <c r="O275" s="126"/>
    </row>
    <row r="276" spans="1:15" s="126" customFormat="1" ht="30" customHeight="1" x14ac:dyDescent="0.2">
      <c r="A276" s="422" t="s">
        <v>784</v>
      </c>
      <c r="B276" s="505" t="s">
        <v>712</v>
      </c>
      <c r="C276" s="400" t="s">
        <v>644</v>
      </c>
      <c r="D276" s="509" t="s">
        <v>333</v>
      </c>
      <c r="E276" s="462" t="s">
        <v>27</v>
      </c>
      <c r="F276" s="463">
        <v>36.56</v>
      </c>
      <c r="G276" s="463"/>
      <c r="H276" s="403">
        <f t="shared" si="39"/>
        <v>0</v>
      </c>
      <c r="I276" s="405">
        <f t="shared" si="40"/>
        <v>0</v>
      </c>
      <c r="J276" s="129"/>
    </row>
    <row r="277" spans="1:15" s="126" customFormat="1" ht="30" customHeight="1" x14ac:dyDescent="0.2">
      <c r="A277" s="422" t="s">
        <v>785</v>
      </c>
      <c r="B277" s="505" t="s">
        <v>713</v>
      </c>
      <c r="C277" s="400" t="s">
        <v>644</v>
      </c>
      <c r="D277" s="509" t="s">
        <v>249</v>
      </c>
      <c r="E277" s="462" t="s">
        <v>114</v>
      </c>
      <c r="F277" s="463">
        <v>39.4</v>
      </c>
      <c r="G277" s="463"/>
      <c r="H277" s="403">
        <f t="shared" si="39"/>
        <v>0</v>
      </c>
      <c r="I277" s="405">
        <f t="shared" si="40"/>
        <v>0</v>
      </c>
      <c r="J277" s="129"/>
    </row>
    <row r="278" spans="1:15" s="141" customFormat="1" ht="32.25" customHeight="1" x14ac:dyDescent="0.2">
      <c r="A278" s="422" t="s">
        <v>786</v>
      </c>
      <c r="B278" s="505" t="s">
        <v>498</v>
      </c>
      <c r="C278" s="465" t="s">
        <v>379</v>
      </c>
      <c r="D278" s="401" t="s">
        <v>715</v>
      </c>
      <c r="E278" s="465" t="s">
        <v>114</v>
      </c>
      <c r="F278" s="463">
        <v>39.4</v>
      </c>
      <c r="G278" s="463"/>
      <c r="H278" s="403">
        <f t="shared" si="39"/>
        <v>0</v>
      </c>
      <c r="I278" s="405">
        <f t="shared" si="40"/>
        <v>0</v>
      </c>
      <c r="J278" s="129"/>
      <c r="K278" s="126"/>
      <c r="L278" s="126"/>
      <c r="M278" s="126"/>
      <c r="N278" s="126"/>
      <c r="O278" s="126"/>
    </row>
    <row r="279" spans="1:15" s="141" customFormat="1" ht="29.25" customHeight="1" x14ac:dyDescent="0.2">
      <c r="A279" s="422" t="s">
        <v>787</v>
      </c>
      <c r="B279" s="505" t="s">
        <v>483</v>
      </c>
      <c r="C279" s="398" t="s">
        <v>379</v>
      </c>
      <c r="D279" s="401" t="s">
        <v>714</v>
      </c>
      <c r="E279" s="400" t="s">
        <v>114</v>
      </c>
      <c r="F279" s="463">
        <v>4.26</v>
      </c>
      <c r="G279" s="463"/>
      <c r="H279" s="403">
        <f t="shared" si="39"/>
        <v>0</v>
      </c>
      <c r="I279" s="405">
        <f t="shared" si="40"/>
        <v>0</v>
      </c>
      <c r="J279" s="129"/>
      <c r="K279" s="126"/>
      <c r="L279" s="126"/>
      <c r="M279" s="126"/>
      <c r="N279" s="126"/>
      <c r="O279" s="126"/>
    </row>
    <row r="280" spans="1:15" s="126" customFormat="1" ht="25.5" x14ac:dyDescent="0.2">
      <c r="A280" s="422" t="s">
        <v>788</v>
      </c>
      <c r="B280" s="465">
        <v>130308</v>
      </c>
      <c r="C280" s="400" t="s">
        <v>644</v>
      </c>
      <c r="D280" s="401" t="s">
        <v>411</v>
      </c>
      <c r="E280" s="400" t="s">
        <v>27</v>
      </c>
      <c r="F280" s="463">
        <v>1.6</v>
      </c>
      <c r="G280" s="463"/>
      <c r="H280" s="403">
        <f t="shared" si="39"/>
        <v>0</v>
      </c>
      <c r="I280" s="405">
        <f t="shared" si="40"/>
        <v>0</v>
      </c>
      <c r="J280" s="129"/>
    </row>
    <row r="281" spans="1:15" s="130" customFormat="1" ht="17.25" customHeight="1" x14ac:dyDescent="0.2">
      <c r="A281" s="583" t="s">
        <v>799</v>
      </c>
      <c r="B281" s="583"/>
      <c r="C281" s="583"/>
      <c r="D281" s="583"/>
      <c r="E281" s="583"/>
      <c r="F281" s="583"/>
      <c r="G281" s="583"/>
      <c r="H281" s="583"/>
      <c r="I281" s="406">
        <f>SUM(I274:I280)</f>
        <v>0</v>
      </c>
      <c r="J281" s="129"/>
      <c r="K281" s="242"/>
      <c r="L281" s="242"/>
      <c r="M281" s="242"/>
      <c r="N281" s="242"/>
      <c r="O281" s="242"/>
    </row>
    <row r="282" spans="1:15" s="130" customFormat="1" ht="6" customHeight="1" x14ac:dyDescent="0.2">
      <c r="A282" s="455"/>
      <c r="B282" s="456"/>
      <c r="C282" s="456"/>
      <c r="D282" s="464"/>
      <c r="E282" s="456"/>
      <c r="F282" s="458"/>
      <c r="G282" s="459"/>
      <c r="H282" s="460"/>
      <c r="I282" s="461"/>
      <c r="K282" s="242"/>
      <c r="L282" s="242"/>
      <c r="M282" s="242"/>
      <c r="N282" s="242"/>
      <c r="O282" s="242"/>
    </row>
    <row r="283" spans="1:15" s="243" customFormat="1" ht="20.100000000000001" customHeight="1" x14ac:dyDescent="0.2">
      <c r="A283" s="433" t="s">
        <v>801</v>
      </c>
      <c r="B283" s="434"/>
      <c r="C283" s="435"/>
      <c r="D283" s="447" t="s">
        <v>716</v>
      </c>
      <c r="E283" s="434"/>
      <c r="F283" s="436"/>
      <c r="G283" s="436"/>
      <c r="H283" s="437"/>
      <c r="I283" s="438"/>
      <c r="K283" s="242"/>
      <c r="L283" s="242"/>
      <c r="M283" s="242"/>
      <c r="N283" s="242"/>
      <c r="O283" s="242"/>
    </row>
    <row r="284" spans="1:15" s="126" customFormat="1" x14ac:dyDescent="0.2">
      <c r="A284" s="422" t="s">
        <v>802</v>
      </c>
      <c r="B284" s="465">
        <v>95675</v>
      </c>
      <c r="C284" s="398" t="s">
        <v>379</v>
      </c>
      <c r="D284" s="401" t="s">
        <v>800</v>
      </c>
      <c r="E284" s="466" t="s">
        <v>410</v>
      </c>
      <c r="F284" s="463">
        <v>1</v>
      </c>
      <c r="G284" s="463"/>
      <c r="H284" s="403">
        <f t="shared" ref="H284:H301" si="41">G284*(1+$I$2)</f>
        <v>0</v>
      </c>
      <c r="I284" s="405">
        <f t="shared" ref="I284:I301" si="42">ROUND(F284*H284,2)</f>
        <v>0</v>
      </c>
    </row>
    <row r="285" spans="1:15" s="126" customFormat="1" ht="30" customHeight="1" x14ac:dyDescent="0.2">
      <c r="A285" s="422" t="s">
        <v>803</v>
      </c>
      <c r="B285" s="465">
        <v>170547</v>
      </c>
      <c r="C285" s="400" t="s">
        <v>644</v>
      </c>
      <c r="D285" s="509" t="s">
        <v>370</v>
      </c>
      <c r="E285" s="466" t="s">
        <v>410</v>
      </c>
      <c r="F285" s="463">
        <v>1</v>
      </c>
      <c r="G285" s="463"/>
      <c r="H285" s="403">
        <f t="shared" si="41"/>
        <v>0</v>
      </c>
      <c r="I285" s="405">
        <f t="shared" si="42"/>
        <v>0</v>
      </c>
    </row>
    <row r="286" spans="1:15" s="130" customFormat="1" ht="25.5" x14ac:dyDescent="0.2">
      <c r="A286" s="422" t="s">
        <v>804</v>
      </c>
      <c r="B286" s="465">
        <v>142119</v>
      </c>
      <c r="C286" s="400" t="s">
        <v>644</v>
      </c>
      <c r="D286" s="510" t="s">
        <v>216</v>
      </c>
      <c r="E286" s="466" t="s">
        <v>410</v>
      </c>
      <c r="F286" s="463">
        <v>1</v>
      </c>
      <c r="G286" s="463"/>
      <c r="H286" s="403">
        <f t="shared" si="41"/>
        <v>0</v>
      </c>
      <c r="I286" s="405">
        <f t="shared" si="42"/>
        <v>0</v>
      </c>
      <c r="K286" s="126"/>
      <c r="L286" s="126"/>
      <c r="M286" s="126"/>
      <c r="N286" s="126"/>
      <c r="O286" s="126"/>
    </row>
    <row r="287" spans="1:15" s="126" customFormat="1" ht="25.5" x14ac:dyDescent="0.2">
      <c r="A287" s="422" t="s">
        <v>805</v>
      </c>
      <c r="B287" s="465">
        <v>140701</v>
      </c>
      <c r="C287" s="400" t="s">
        <v>644</v>
      </c>
      <c r="D287" s="510" t="s">
        <v>217</v>
      </c>
      <c r="E287" s="466" t="s">
        <v>410</v>
      </c>
      <c r="F287" s="463">
        <v>6</v>
      </c>
      <c r="G287" s="463"/>
      <c r="H287" s="403">
        <f t="shared" si="41"/>
        <v>0</v>
      </c>
      <c r="I287" s="405">
        <f t="shared" si="42"/>
        <v>0</v>
      </c>
    </row>
    <row r="288" spans="1:15" s="126" customFormat="1" ht="25.5" x14ac:dyDescent="0.2">
      <c r="A288" s="422" t="s">
        <v>806</v>
      </c>
      <c r="B288" s="465">
        <v>140702</v>
      </c>
      <c r="C288" s="400" t="s">
        <v>644</v>
      </c>
      <c r="D288" s="510" t="s">
        <v>218</v>
      </c>
      <c r="E288" s="466" t="s">
        <v>410</v>
      </c>
      <c r="F288" s="463">
        <v>1</v>
      </c>
      <c r="G288" s="463"/>
      <c r="H288" s="403">
        <f t="shared" si="41"/>
        <v>0</v>
      </c>
      <c r="I288" s="405">
        <f t="shared" si="42"/>
        <v>0</v>
      </c>
    </row>
    <row r="289" spans="1:15" s="126" customFormat="1" ht="25.5" x14ac:dyDescent="0.2">
      <c r="A289" s="422" t="s">
        <v>807</v>
      </c>
      <c r="B289" s="465">
        <v>140705</v>
      </c>
      <c r="C289" s="400" t="s">
        <v>644</v>
      </c>
      <c r="D289" s="510" t="s">
        <v>219</v>
      </c>
      <c r="E289" s="466" t="s">
        <v>410</v>
      </c>
      <c r="F289" s="463">
        <v>1</v>
      </c>
      <c r="G289" s="463"/>
      <c r="H289" s="403">
        <f t="shared" si="41"/>
        <v>0</v>
      </c>
      <c r="I289" s="405">
        <f t="shared" si="42"/>
        <v>0</v>
      </c>
    </row>
    <row r="290" spans="1:15" s="126" customFormat="1" ht="25.5" x14ac:dyDescent="0.2">
      <c r="A290" s="422" t="s">
        <v>808</v>
      </c>
      <c r="B290" s="465">
        <v>140706</v>
      </c>
      <c r="C290" s="400" t="s">
        <v>644</v>
      </c>
      <c r="D290" s="510" t="s">
        <v>220</v>
      </c>
      <c r="E290" s="466" t="s">
        <v>410</v>
      </c>
      <c r="F290" s="463">
        <v>5</v>
      </c>
      <c r="G290" s="463"/>
      <c r="H290" s="403">
        <f t="shared" si="41"/>
        <v>0</v>
      </c>
      <c r="I290" s="405">
        <f t="shared" si="42"/>
        <v>0</v>
      </c>
    </row>
    <row r="291" spans="1:15" s="126" customFormat="1" ht="30" customHeight="1" x14ac:dyDescent="0.2">
      <c r="A291" s="422" t="s">
        <v>809</v>
      </c>
      <c r="B291" s="465">
        <v>140707</v>
      </c>
      <c r="C291" s="400" t="s">
        <v>644</v>
      </c>
      <c r="D291" s="509" t="s">
        <v>257</v>
      </c>
      <c r="E291" s="466" t="s">
        <v>410</v>
      </c>
      <c r="F291" s="463">
        <v>3</v>
      </c>
      <c r="G291" s="463"/>
      <c r="H291" s="403">
        <f t="shared" si="41"/>
        <v>0</v>
      </c>
      <c r="I291" s="405">
        <f t="shared" si="42"/>
        <v>0</v>
      </c>
    </row>
    <row r="292" spans="1:15" s="126" customFormat="1" ht="30" customHeight="1" x14ac:dyDescent="0.2">
      <c r="A292" s="422" t="s">
        <v>810</v>
      </c>
      <c r="B292" s="465">
        <v>140708</v>
      </c>
      <c r="C292" s="400" t="s">
        <v>644</v>
      </c>
      <c r="D292" s="509" t="s">
        <v>221</v>
      </c>
      <c r="E292" s="466" t="s">
        <v>410</v>
      </c>
      <c r="F292" s="463">
        <v>1</v>
      </c>
      <c r="G292" s="463"/>
      <c r="H292" s="403">
        <f t="shared" si="41"/>
        <v>0</v>
      </c>
      <c r="I292" s="405">
        <f t="shared" si="42"/>
        <v>0</v>
      </c>
    </row>
    <row r="293" spans="1:15" s="129" customFormat="1" ht="25.5" x14ac:dyDescent="0.2">
      <c r="A293" s="422" t="s">
        <v>811</v>
      </c>
      <c r="B293" s="465">
        <v>170322</v>
      </c>
      <c r="C293" s="400" t="s">
        <v>644</v>
      </c>
      <c r="D293" s="401" t="s">
        <v>476</v>
      </c>
      <c r="E293" s="466" t="s">
        <v>410</v>
      </c>
      <c r="F293" s="463">
        <v>1</v>
      </c>
      <c r="G293" s="463"/>
      <c r="H293" s="403">
        <f t="shared" si="41"/>
        <v>0</v>
      </c>
      <c r="I293" s="405">
        <f t="shared" si="42"/>
        <v>0</v>
      </c>
      <c r="K293" s="126"/>
      <c r="L293" s="126"/>
      <c r="M293" s="126"/>
      <c r="N293" s="126"/>
      <c r="O293" s="126"/>
    </row>
    <row r="294" spans="1:15" s="129" customFormat="1" ht="25.5" x14ac:dyDescent="0.2">
      <c r="A294" s="422" t="s">
        <v>812</v>
      </c>
      <c r="B294" s="465">
        <v>170321</v>
      </c>
      <c r="C294" s="400" t="s">
        <v>644</v>
      </c>
      <c r="D294" s="401" t="s">
        <v>473</v>
      </c>
      <c r="E294" s="466" t="s">
        <v>410</v>
      </c>
      <c r="F294" s="463">
        <v>1</v>
      </c>
      <c r="G294" s="463"/>
      <c r="H294" s="403">
        <f t="shared" si="41"/>
        <v>0</v>
      </c>
      <c r="I294" s="405">
        <f t="shared" si="42"/>
        <v>0</v>
      </c>
      <c r="K294" s="126"/>
      <c r="L294" s="126"/>
      <c r="M294" s="126"/>
      <c r="N294" s="126"/>
      <c r="O294" s="126"/>
    </row>
    <row r="295" spans="1:15" s="129" customFormat="1" ht="25.5" x14ac:dyDescent="0.2">
      <c r="A295" s="422" t="s">
        <v>813</v>
      </c>
      <c r="B295" s="465">
        <v>170329</v>
      </c>
      <c r="C295" s="400" t="s">
        <v>644</v>
      </c>
      <c r="D295" s="401" t="s">
        <v>474</v>
      </c>
      <c r="E295" s="448" t="s">
        <v>410</v>
      </c>
      <c r="F295" s="463">
        <v>1</v>
      </c>
      <c r="G295" s="463"/>
      <c r="H295" s="403">
        <f t="shared" si="41"/>
        <v>0</v>
      </c>
      <c r="I295" s="405">
        <f t="shared" si="42"/>
        <v>0</v>
      </c>
      <c r="K295" s="126"/>
      <c r="L295" s="126"/>
      <c r="M295" s="126"/>
      <c r="N295" s="126"/>
      <c r="O295" s="126"/>
    </row>
    <row r="296" spans="1:15" s="129" customFormat="1" ht="25.5" x14ac:dyDescent="0.2">
      <c r="A296" s="422" t="s">
        <v>814</v>
      </c>
      <c r="B296" s="465">
        <v>141529</v>
      </c>
      <c r="C296" s="400" t="s">
        <v>644</v>
      </c>
      <c r="D296" s="401" t="s">
        <v>475</v>
      </c>
      <c r="E296" s="466" t="s">
        <v>410</v>
      </c>
      <c r="F296" s="463">
        <v>2</v>
      </c>
      <c r="G296" s="463"/>
      <c r="H296" s="403">
        <f t="shared" si="41"/>
        <v>0</v>
      </c>
      <c r="I296" s="405">
        <f t="shared" si="42"/>
        <v>0</v>
      </c>
      <c r="K296" s="126"/>
      <c r="L296" s="126"/>
      <c r="M296" s="126"/>
      <c r="N296" s="126"/>
      <c r="O296" s="126"/>
    </row>
    <row r="297" spans="1:15" s="129" customFormat="1" ht="30" customHeight="1" x14ac:dyDescent="0.2">
      <c r="A297" s="422" t="s">
        <v>815</v>
      </c>
      <c r="B297" s="465">
        <v>141522</v>
      </c>
      <c r="C297" s="400" t="s">
        <v>644</v>
      </c>
      <c r="D297" s="401" t="s">
        <v>472</v>
      </c>
      <c r="E297" s="466" t="s">
        <v>410</v>
      </c>
      <c r="F297" s="463">
        <v>2</v>
      </c>
      <c r="G297" s="463"/>
      <c r="H297" s="403">
        <f t="shared" si="41"/>
        <v>0</v>
      </c>
      <c r="I297" s="405">
        <f t="shared" si="42"/>
        <v>0</v>
      </c>
      <c r="K297" s="126"/>
      <c r="L297" s="126"/>
      <c r="M297" s="126"/>
      <c r="N297" s="126"/>
      <c r="O297" s="126"/>
    </row>
    <row r="298" spans="1:15" s="129" customFormat="1" ht="30" customHeight="1" x14ac:dyDescent="0.2">
      <c r="A298" s="422" t="s">
        <v>816</v>
      </c>
      <c r="B298" s="465">
        <v>98102</v>
      </c>
      <c r="C298" s="465" t="s">
        <v>379</v>
      </c>
      <c r="D298" s="401" t="s">
        <v>789</v>
      </c>
      <c r="E298" s="466" t="s">
        <v>410</v>
      </c>
      <c r="F298" s="463">
        <v>1</v>
      </c>
      <c r="G298" s="463"/>
      <c r="H298" s="403">
        <f t="shared" si="41"/>
        <v>0</v>
      </c>
      <c r="I298" s="405">
        <f t="shared" si="42"/>
        <v>0</v>
      </c>
      <c r="K298" s="126"/>
      <c r="L298" s="126"/>
      <c r="M298" s="126"/>
      <c r="N298" s="126"/>
      <c r="O298" s="126"/>
    </row>
    <row r="299" spans="1:15" s="129" customFormat="1" ht="30" customHeight="1" x14ac:dyDescent="0.2">
      <c r="A299" s="422" t="s">
        <v>817</v>
      </c>
      <c r="B299" s="465">
        <v>97895</v>
      </c>
      <c r="C299" s="465" t="s">
        <v>379</v>
      </c>
      <c r="D299" s="401" t="s">
        <v>790</v>
      </c>
      <c r="E299" s="466" t="s">
        <v>410</v>
      </c>
      <c r="F299" s="463">
        <v>1</v>
      </c>
      <c r="G299" s="463"/>
      <c r="H299" s="403">
        <f t="shared" si="41"/>
        <v>0</v>
      </c>
      <c r="I299" s="405">
        <f t="shared" si="42"/>
        <v>0</v>
      </c>
      <c r="K299" s="126"/>
      <c r="L299" s="126"/>
      <c r="M299" s="126"/>
      <c r="N299" s="126"/>
      <c r="O299" s="126"/>
    </row>
    <row r="300" spans="1:15" s="129" customFormat="1" ht="30" customHeight="1" x14ac:dyDescent="0.2">
      <c r="A300" s="422" t="s">
        <v>818</v>
      </c>
      <c r="B300" s="465">
        <v>140906</v>
      </c>
      <c r="C300" s="400" t="s">
        <v>644</v>
      </c>
      <c r="D300" s="509" t="s">
        <v>267</v>
      </c>
      <c r="E300" s="462" t="s">
        <v>27</v>
      </c>
      <c r="F300" s="463">
        <v>0.3</v>
      </c>
      <c r="G300" s="463"/>
      <c r="H300" s="403">
        <f t="shared" si="41"/>
        <v>0</v>
      </c>
      <c r="I300" s="405">
        <f t="shared" si="42"/>
        <v>0</v>
      </c>
      <c r="K300" s="126"/>
      <c r="L300" s="126"/>
      <c r="M300" s="126"/>
      <c r="N300" s="126"/>
      <c r="O300" s="126"/>
    </row>
    <row r="301" spans="1:15" s="129" customFormat="1" ht="30" customHeight="1" x14ac:dyDescent="0.2">
      <c r="A301" s="422" t="s">
        <v>819</v>
      </c>
      <c r="B301" s="465">
        <v>140903</v>
      </c>
      <c r="C301" s="400" t="s">
        <v>644</v>
      </c>
      <c r="D301" s="509" t="s">
        <v>268</v>
      </c>
      <c r="E301" s="462" t="s">
        <v>27</v>
      </c>
      <c r="F301" s="463">
        <v>20</v>
      </c>
      <c r="G301" s="463"/>
      <c r="H301" s="403">
        <f t="shared" si="41"/>
        <v>0</v>
      </c>
      <c r="I301" s="405">
        <f t="shared" si="42"/>
        <v>0</v>
      </c>
      <c r="K301" s="126"/>
      <c r="L301" s="126"/>
      <c r="M301" s="126"/>
      <c r="N301" s="126"/>
      <c r="O301" s="126"/>
    </row>
    <row r="302" spans="1:15" s="130" customFormat="1" ht="17.25" customHeight="1" x14ac:dyDescent="0.2">
      <c r="A302" s="583" t="s">
        <v>820</v>
      </c>
      <c r="B302" s="583"/>
      <c r="C302" s="583"/>
      <c r="D302" s="583"/>
      <c r="E302" s="583"/>
      <c r="F302" s="583"/>
      <c r="G302" s="583"/>
      <c r="H302" s="583"/>
      <c r="I302" s="406">
        <f>SUM(I284:I301)</f>
        <v>0</v>
      </c>
      <c r="K302" s="242"/>
      <c r="L302" s="242"/>
      <c r="M302" s="242"/>
      <c r="N302" s="242"/>
      <c r="O302" s="242"/>
    </row>
    <row r="303" spans="1:15" s="130" customFormat="1" ht="6" customHeight="1" x14ac:dyDescent="0.2">
      <c r="A303" s="455"/>
      <c r="B303" s="456"/>
      <c r="C303" s="456"/>
      <c r="D303" s="464"/>
      <c r="E303" s="456"/>
      <c r="F303" s="458"/>
      <c r="G303" s="459"/>
      <c r="H303" s="460"/>
      <c r="I303" s="461"/>
      <c r="K303" s="242"/>
      <c r="L303" s="242"/>
      <c r="M303" s="242"/>
      <c r="N303" s="242"/>
      <c r="O303" s="242"/>
    </row>
    <row r="304" spans="1:15" s="244" customFormat="1" ht="20.100000000000001" customHeight="1" x14ac:dyDescent="0.2">
      <c r="A304" s="433" t="s">
        <v>821</v>
      </c>
      <c r="B304" s="434"/>
      <c r="C304" s="435"/>
      <c r="D304" s="447" t="s">
        <v>728</v>
      </c>
      <c r="E304" s="434"/>
      <c r="F304" s="436"/>
      <c r="G304" s="436"/>
      <c r="H304" s="437"/>
      <c r="I304" s="438"/>
      <c r="K304" s="242"/>
      <c r="L304" s="242"/>
      <c r="M304" s="242"/>
      <c r="N304" s="242"/>
      <c r="O304" s="242"/>
    </row>
    <row r="305" spans="1:17" s="129" customFormat="1" ht="25.5" x14ac:dyDescent="0.2">
      <c r="A305" s="422" t="s">
        <v>822</v>
      </c>
      <c r="B305" s="465">
        <v>86888</v>
      </c>
      <c r="C305" s="465" t="s">
        <v>379</v>
      </c>
      <c r="D305" s="401" t="s">
        <v>791</v>
      </c>
      <c r="E305" s="462" t="s">
        <v>410</v>
      </c>
      <c r="F305" s="463">
        <v>1</v>
      </c>
      <c r="G305" s="463"/>
      <c r="H305" s="403">
        <f t="shared" ref="H305:H313" si="43">G305*(1+$I$2)</f>
        <v>0</v>
      </c>
      <c r="I305" s="405">
        <f t="shared" ref="I305:I313" si="44">ROUND(F305*H305,2)</f>
        <v>0</v>
      </c>
      <c r="K305" s="126"/>
      <c r="L305" s="126"/>
      <c r="M305" s="126"/>
      <c r="N305" s="126"/>
      <c r="O305" s="126"/>
    </row>
    <row r="306" spans="1:17" s="129" customFormat="1" ht="25.5" x14ac:dyDescent="0.2">
      <c r="A306" s="422" t="s">
        <v>823</v>
      </c>
      <c r="B306" s="467">
        <v>100866</v>
      </c>
      <c r="C306" s="467" t="s">
        <v>379</v>
      </c>
      <c r="D306" s="429" t="s">
        <v>886</v>
      </c>
      <c r="E306" s="462" t="s">
        <v>410</v>
      </c>
      <c r="F306" s="463">
        <v>2</v>
      </c>
      <c r="G306" s="463"/>
      <c r="H306" s="403">
        <f t="shared" si="43"/>
        <v>0</v>
      </c>
      <c r="I306" s="405">
        <f t="shared" si="44"/>
        <v>0</v>
      </c>
      <c r="K306" s="126"/>
      <c r="L306" s="126"/>
      <c r="M306" s="126"/>
      <c r="N306" s="126"/>
      <c r="O306" s="126"/>
      <c r="Q306" s="130"/>
    </row>
    <row r="307" spans="1:17" s="129" customFormat="1" ht="51" x14ac:dyDescent="0.2">
      <c r="A307" s="422" t="s">
        <v>824</v>
      </c>
      <c r="B307" s="465">
        <v>86943</v>
      </c>
      <c r="C307" s="465" t="s">
        <v>379</v>
      </c>
      <c r="D307" s="401" t="s">
        <v>798</v>
      </c>
      <c r="E307" s="462" t="s">
        <v>410</v>
      </c>
      <c r="F307" s="463">
        <v>1</v>
      </c>
      <c r="G307" s="463"/>
      <c r="H307" s="403">
        <f t="shared" si="43"/>
        <v>0</v>
      </c>
      <c r="I307" s="405">
        <f t="shared" si="44"/>
        <v>0</v>
      </c>
      <c r="K307" s="126"/>
      <c r="L307" s="126"/>
      <c r="M307" s="126"/>
      <c r="N307" s="126"/>
      <c r="O307" s="126"/>
    </row>
    <row r="308" spans="1:17" s="129" customFormat="1" ht="51" x14ac:dyDescent="0.2">
      <c r="A308" s="422" t="s">
        <v>825</v>
      </c>
      <c r="B308" s="465">
        <v>86933</v>
      </c>
      <c r="C308" s="465" t="s">
        <v>379</v>
      </c>
      <c r="D308" s="401" t="s">
        <v>792</v>
      </c>
      <c r="E308" s="462" t="s">
        <v>410</v>
      </c>
      <c r="F308" s="463">
        <v>1</v>
      </c>
      <c r="G308" s="463"/>
      <c r="H308" s="403">
        <f t="shared" si="43"/>
        <v>0</v>
      </c>
      <c r="I308" s="405">
        <f t="shared" si="44"/>
        <v>0</v>
      </c>
      <c r="K308" s="126"/>
      <c r="L308" s="126"/>
      <c r="M308" s="126"/>
      <c r="N308" s="126"/>
      <c r="O308" s="126"/>
    </row>
    <row r="309" spans="1:17" s="126" customFormat="1" ht="25.5" x14ac:dyDescent="0.2">
      <c r="A309" s="422" t="s">
        <v>826</v>
      </c>
      <c r="B309" s="465">
        <v>100860</v>
      </c>
      <c r="C309" s="465" t="s">
        <v>379</v>
      </c>
      <c r="D309" s="401" t="s">
        <v>793</v>
      </c>
      <c r="E309" s="462" t="s">
        <v>410</v>
      </c>
      <c r="F309" s="463">
        <v>1</v>
      </c>
      <c r="G309" s="463"/>
      <c r="H309" s="403">
        <f t="shared" si="43"/>
        <v>0</v>
      </c>
      <c r="I309" s="405">
        <f t="shared" si="44"/>
        <v>0</v>
      </c>
    </row>
    <row r="310" spans="1:17" s="126" customFormat="1" ht="25.5" x14ac:dyDescent="0.2">
      <c r="A310" s="422" t="s">
        <v>827</v>
      </c>
      <c r="B310" s="465">
        <v>86877</v>
      </c>
      <c r="C310" s="465" t="s">
        <v>379</v>
      </c>
      <c r="D310" s="401" t="s">
        <v>794</v>
      </c>
      <c r="E310" s="462" t="s">
        <v>410</v>
      </c>
      <c r="F310" s="463">
        <v>1</v>
      </c>
      <c r="G310" s="463"/>
      <c r="H310" s="403">
        <f t="shared" si="43"/>
        <v>0</v>
      </c>
      <c r="I310" s="405">
        <f t="shared" si="44"/>
        <v>0</v>
      </c>
    </row>
    <row r="311" spans="1:17" s="126" customFormat="1" x14ac:dyDescent="0.2">
      <c r="A311" s="422" t="s">
        <v>828</v>
      </c>
      <c r="B311" s="465">
        <v>86882</v>
      </c>
      <c r="C311" s="465" t="s">
        <v>379</v>
      </c>
      <c r="D311" s="401" t="s">
        <v>795</v>
      </c>
      <c r="E311" s="462" t="s">
        <v>410</v>
      </c>
      <c r="F311" s="463">
        <v>1</v>
      </c>
      <c r="G311" s="463"/>
      <c r="H311" s="403">
        <f t="shared" si="43"/>
        <v>0</v>
      </c>
      <c r="I311" s="405">
        <f t="shared" si="44"/>
        <v>0</v>
      </c>
    </row>
    <row r="312" spans="1:17" s="126" customFormat="1" ht="25.5" x14ac:dyDescent="0.2">
      <c r="A312" s="422" t="s">
        <v>829</v>
      </c>
      <c r="B312" s="465">
        <v>86913</v>
      </c>
      <c r="C312" s="465" t="s">
        <v>379</v>
      </c>
      <c r="D312" s="401" t="s">
        <v>796</v>
      </c>
      <c r="E312" s="462" t="s">
        <v>410</v>
      </c>
      <c r="F312" s="463">
        <v>1</v>
      </c>
      <c r="G312" s="463"/>
      <c r="H312" s="403">
        <f t="shared" si="43"/>
        <v>0</v>
      </c>
      <c r="I312" s="405">
        <f t="shared" si="44"/>
        <v>0</v>
      </c>
    </row>
    <row r="313" spans="1:17" s="126" customFormat="1" ht="25.5" x14ac:dyDescent="0.2">
      <c r="A313" s="422" t="s">
        <v>830</v>
      </c>
      <c r="B313" s="465">
        <v>86876</v>
      </c>
      <c r="C313" s="465" t="s">
        <v>379</v>
      </c>
      <c r="D313" s="401" t="s">
        <v>797</v>
      </c>
      <c r="E313" s="462" t="s">
        <v>410</v>
      </c>
      <c r="F313" s="463">
        <v>1</v>
      </c>
      <c r="G313" s="463"/>
      <c r="H313" s="403">
        <f t="shared" si="43"/>
        <v>0</v>
      </c>
      <c r="I313" s="405">
        <f t="shared" si="44"/>
        <v>0</v>
      </c>
    </row>
    <row r="314" spans="1:17" s="130" customFormat="1" ht="17.25" customHeight="1" x14ac:dyDescent="0.2">
      <c r="A314" s="583" t="s">
        <v>831</v>
      </c>
      <c r="B314" s="583"/>
      <c r="C314" s="583"/>
      <c r="D314" s="583"/>
      <c r="E314" s="583"/>
      <c r="F314" s="583"/>
      <c r="G314" s="583"/>
      <c r="H314" s="583"/>
      <c r="I314" s="406">
        <f>SUM(I305:I313)</f>
        <v>0</v>
      </c>
      <c r="K314" s="242"/>
      <c r="L314" s="242"/>
      <c r="M314" s="242"/>
      <c r="N314" s="242"/>
      <c r="O314" s="242"/>
    </row>
    <row r="315" spans="1:17" s="130" customFormat="1" ht="6" customHeight="1" x14ac:dyDescent="0.2">
      <c r="A315" s="455"/>
      <c r="B315" s="456"/>
      <c r="C315" s="456"/>
      <c r="D315" s="464"/>
      <c r="E315" s="456"/>
      <c r="F315" s="458"/>
      <c r="G315" s="459"/>
      <c r="H315" s="460"/>
      <c r="I315" s="461"/>
      <c r="K315" s="242"/>
      <c r="L315" s="242"/>
      <c r="M315" s="242"/>
      <c r="N315" s="242"/>
      <c r="O315" s="242"/>
    </row>
    <row r="316" spans="1:17" s="243" customFormat="1" ht="20.100000000000001" customHeight="1" x14ac:dyDescent="0.2">
      <c r="A316" s="433" t="s">
        <v>832</v>
      </c>
      <c r="B316" s="434"/>
      <c r="C316" s="435"/>
      <c r="D316" s="472" t="s">
        <v>277</v>
      </c>
      <c r="E316" s="434"/>
      <c r="F316" s="436"/>
      <c r="G316" s="436"/>
      <c r="H316" s="437"/>
      <c r="I316" s="438"/>
      <c r="K316" s="242"/>
      <c r="L316" s="242"/>
      <c r="M316" s="242"/>
      <c r="N316" s="242"/>
      <c r="O316" s="242"/>
    </row>
    <row r="317" spans="1:17" s="126" customFormat="1" ht="30" customHeight="1" x14ac:dyDescent="0.2">
      <c r="A317" s="422" t="s">
        <v>833</v>
      </c>
      <c r="B317" s="465">
        <v>180115</v>
      </c>
      <c r="C317" s="400" t="s">
        <v>644</v>
      </c>
      <c r="D317" s="401" t="s">
        <v>416</v>
      </c>
      <c r="E317" s="468" t="s">
        <v>410</v>
      </c>
      <c r="F317" s="468">
        <v>7</v>
      </c>
      <c r="G317" s="463"/>
      <c r="H317" s="403">
        <f t="shared" ref="H317:H326" si="45">G317*(1+$I$2)</f>
        <v>0</v>
      </c>
      <c r="I317" s="405">
        <f t="shared" ref="I317:I326" si="46">ROUND(F317*H317,2)</f>
        <v>0</v>
      </c>
    </row>
    <row r="318" spans="1:17" s="126" customFormat="1" ht="30" customHeight="1" x14ac:dyDescent="0.2">
      <c r="A318" s="422" t="s">
        <v>834</v>
      </c>
      <c r="B318" s="465">
        <v>180201</v>
      </c>
      <c r="C318" s="400" t="s">
        <v>644</v>
      </c>
      <c r="D318" s="401" t="s">
        <v>419</v>
      </c>
      <c r="E318" s="468" t="s">
        <v>410</v>
      </c>
      <c r="F318" s="468">
        <v>5</v>
      </c>
      <c r="G318" s="463"/>
      <c r="H318" s="403">
        <f t="shared" si="45"/>
        <v>0</v>
      </c>
      <c r="I318" s="405">
        <f t="shared" si="46"/>
        <v>0</v>
      </c>
    </row>
    <row r="319" spans="1:17" s="126" customFormat="1" ht="30" customHeight="1" x14ac:dyDescent="0.2">
      <c r="A319" s="422" t="s">
        <v>835</v>
      </c>
      <c r="B319" s="465">
        <v>180207</v>
      </c>
      <c r="C319" s="400" t="s">
        <v>644</v>
      </c>
      <c r="D319" s="401" t="s">
        <v>417</v>
      </c>
      <c r="E319" s="468" t="s">
        <v>410</v>
      </c>
      <c r="F319" s="468">
        <v>4</v>
      </c>
      <c r="G319" s="463"/>
      <c r="H319" s="403">
        <f t="shared" si="45"/>
        <v>0</v>
      </c>
      <c r="I319" s="405">
        <f t="shared" si="46"/>
        <v>0</v>
      </c>
    </row>
    <row r="320" spans="1:17" s="126" customFormat="1" ht="30" customHeight="1" x14ac:dyDescent="0.2">
      <c r="A320" s="422" t="s">
        <v>836</v>
      </c>
      <c r="B320" s="465">
        <v>180204</v>
      </c>
      <c r="C320" s="400" t="s">
        <v>644</v>
      </c>
      <c r="D320" s="401" t="s">
        <v>418</v>
      </c>
      <c r="E320" s="468" t="s">
        <v>410</v>
      </c>
      <c r="F320" s="468">
        <v>2</v>
      </c>
      <c r="G320" s="463"/>
      <c r="H320" s="403">
        <f t="shared" si="45"/>
        <v>0</v>
      </c>
      <c r="I320" s="405">
        <f t="shared" si="46"/>
        <v>0</v>
      </c>
    </row>
    <row r="321" spans="1:15" s="126" customFormat="1" ht="30" customHeight="1" x14ac:dyDescent="0.2">
      <c r="A321" s="422" t="s">
        <v>837</v>
      </c>
      <c r="B321" s="465">
        <v>93654</v>
      </c>
      <c r="C321" s="398" t="s">
        <v>379</v>
      </c>
      <c r="D321" s="401" t="s">
        <v>877</v>
      </c>
      <c r="E321" s="468" t="s">
        <v>410</v>
      </c>
      <c r="F321" s="468">
        <v>1</v>
      </c>
      <c r="G321" s="463"/>
      <c r="H321" s="403">
        <f t="shared" si="45"/>
        <v>0</v>
      </c>
      <c r="I321" s="405">
        <f t="shared" si="46"/>
        <v>0</v>
      </c>
    </row>
    <row r="322" spans="1:15" s="126" customFormat="1" ht="30" customHeight="1" x14ac:dyDescent="0.2">
      <c r="A322" s="422" t="s">
        <v>838</v>
      </c>
      <c r="B322" s="465">
        <v>93655</v>
      </c>
      <c r="C322" s="398" t="s">
        <v>379</v>
      </c>
      <c r="D322" s="401" t="s">
        <v>878</v>
      </c>
      <c r="E322" s="468" t="s">
        <v>410</v>
      </c>
      <c r="F322" s="468">
        <v>1</v>
      </c>
      <c r="G322" s="463"/>
      <c r="H322" s="403">
        <f t="shared" si="45"/>
        <v>0</v>
      </c>
      <c r="I322" s="405">
        <f t="shared" si="46"/>
        <v>0</v>
      </c>
    </row>
    <row r="323" spans="1:15" s="126" customFormat="1" ht="30" customHeight="1" x14ac:dyDescent="0.2">
      <c r="A323" s="422" t="s">
        <v>839</v>
      </c>
      <c r="B323" s="465">
        <v>93656</v>
      </c>
      <c r="C323" s="398" t="s">
        <v>379</v>
      </c>
      <c r="D323" s="401" t="s">
        <v>879</v>
      </c>
      <c r="E323" s="468" t="s">
        <v>410</v>
      </c>
      <c r="F323" s="468">
        <v>1</v>
      </c>
      <c r="G323" s="463"/>
      <c r="H323" s="403">
        <f t="shared" si="45"/>
        <v>0</v>
      </c>
      <c r="I323" s="405">
        <f t="shared" si="46"/>
        <v>0</v>
      </c>
    </row>
    <row r="324" spans="1:15" s="126" customFormat="1" ht="30" customHeight="1" x14ac:dyDescent="0.2">
      <c r="A324" s="422" t="s">
        <v>840</v>
      </c>
      <c r="B324" s="465">
        <v>93663</v>
      </c>
      <c r="C324" s="398" t="s">
        <v>379</v>
      </c>
      <c r="D324" s="401" t="s">
        <v>880</v>
      </c>
      <c r="E324" s="468" t="s">
        <v>410</v>
      </c>
      <c r="F324" s="468">
        <v>1</v>
      </c>
      <c r="G324" s="463"/>
      <c r="H324" s="403">
        <f t="shared" si="45"/>
        <v>0</v>
      </c>
      <c r="I324" s="405">
        <f t="shared" si="46"/>
        <v>0</v>
      </c>
    </row>
    <row r="325" spans="1:15" s="126" customFormat="1" ht="30" customHeight="1" x14ac:dyDescent="0.2">
      <c r="A325" s="422" t="s">
        <v>841</v>
      </c>
      <c r="B325" s="465">
        <v>151308</v>
      </c>
      <c r="C325" s="400" t="s">
        <v>644</v>
      </c>
      <c r="D325" s="401" t="s">
        <v>499</v>
      </c>
      <c r="E325" s="468" t="s">
        <v>410</v>
      </c>
      <c r="F325" s="468">
        <v>1</v>
      </c>
      <c r="G325" s="463"/>
      <c r="H325" s="403">
        <f t="shared" si="45"/>
        <v>0</v>
      </c>
      <c r="I325" s="405">
        <f t="shared" si="46"/>
        <v>0</v>
      </c>
    </row>
    <row r="326" spans="1:15" s="126" customFormat="1" ht="30" customHeight="1" x14ac:dyDescent="0.2">
      <c r="A326" s="422" t="s">
        <v>842</v>
      </c>
      <c r="B326" s="465">
        <v>150306</v>
      </c>
      <c r="C326" s="400" t="s">
        <v>644</v>
      </c>
      <c r="D326" s="401" t="s">
        <v>523</v>
      </c>
      <c r="E326" s="468" t="s">
        <v>410</v>
      </c>
      <c r="F326" s="468">
        <v>1</v>
      </c>
      <c r="G326" s="463"/>
      <c r="H326" s="403">
        <f t="shared" si="45"/>
        <v>0</v>
      </c>
      <c r="I326" s="405">
        <f t="shared" si="46"/>
        <v>0</v>
      </c>
    </row>
    <row r="327" spans="1:15" s="130" customFormat="1" ht="17.25" customHeight="1" x14ac:dyDescent="0.2">
      <c r="A327" s="583" t="s">
        <v>843</v>
      </c>
      <c r="B327" s="583"/>
      <c r="C327" s="583"/>
      <c r="D327" s="583"/>
      <c r="E327" s="583"/>
      <c r="F327" s="583"/>
      <c r="G327" s="583"/>
      <c r="H327" s="583"/>
      <c r="I327" s="406">
        <f>SUM(I317:I326)</f>
        <v>0</v>
      </c>
      <c r="K327" s="242"/>
      <c r="L327" s="242"/>
      <c r="M327" s="242"/>
      <c r="N327" s="242"/>
      <c r="O327" s="242"/>
    </row>
    <row r="328" spans="1:15" s="130" customFormat="1" ht="6" customHeight="1" x14ac:dyDescent="0.2">
      <c r="A328" s="455"/>
      <c r="B328" s="456"/>
      <c r="C328" s="456"/>
      <c r="D328" s="464"/>
      <c r="E328" s="456"/>
      <c r="F328" s="458"/>
      <c r="G328" s="459"/>
      <c r="H328" s="460"/>
      <c r="I328" s="461"/>
      <c r="K328" s="242"/>
      <c r="L328" s="242"/>
      <c r="M328" s="242"/>
      <c r="N328" s="242"/>
      <c r="O328" s="242"/>
    </row>
    <row r="329" spans="1:15" s="243" customFormat="1" ht="20.100000000000001" customHeight="1" x14ac:dyDescent="0.2">
      <c r="A329" s="433" t="s">
        <v>844</v>
      </c>
      <c r="B329" s="434"/>
      <c r="C329" s="435"/>
      <c r="D329" s="447" t="s">
        <v>106</v>
      </c>
      <c r="E329" s="434"/>
      <c r="F329" s="436"/>
      <c r="G329" s="436"/>
      <c r="H329" s="437"/>
      <c r="I329" s="438"/>
      <c r="K329" s="242"/>
      <c r="L329" s="242"/>
      <c r="M329" s="242"/>
      <c r="N329" s="242"/>
      <c r="O329" s="242"/>
    </row>
    <row r="330" spans="1:15" s="126" customFormat="1" ht="34.5" customHeight="1" x14ac:dyDescent="0.2">
      <c r="A330" s="422" t="s">
        <v>845</v>
      </c>
      <c r="B330" s="465">
        <v>151701</v>
      </c>
      <c r="C330" s="400" t="s">
        <v>644</v>
      </c>
      <c r="D330" s="401" t="s">
        <v>588</v>
      </c>
      <c r="E330" s="400" t="s">
        <v>410</v>
      </c>
      <c r="F330" s="463">
        <v>1</v>
      </c>
      <c r="G330" s="463"/>
      <c r="H330" s="403">
        <f t="shared" ref="H330:H337" si="47">G330*(1+$I$2)</f>
        <v>0</v>
      </c>
      <c r="I330" s="405">
        <f t="shared" ref="I330:I337" si="48">ROUND(F330*H330,2)</f>
        <v>0</v>
      </c>
    </row>
    <row r="331" spans="1:15" s="126" customFormat="1" ht="51" x14ac:dyDescent="0.2">
      <c r="A331" s="422" t="s">
        <v>846</v>
      </c>
      <c r="B331" s="465">
        <v>150122</v>
      </c>
      <c r="C331" s="400" t="s">
        <v>644</v>
      </c>
      <c r="D331" s="401" t="s">
        <v>493</v>
      </c>
      <c r="E331" s="400" t="s">
        <v>410</v>
      </c>
      <c r="F331" s="463">
        <v>1</v>
      </c>
      <c r="G331" s="463"/>
      <c r="H331" s="403">
        <f t="shared" si="47"/>
        <v>0</v>
      </c>
      <c r="I331" s="405">
        <f t="shared" si="48"/>
        <v>0</v>
      </c>
    </row>
    <row r="332" spans="1:15" s="126" customFormat="1" ht="45" customHeight="1" x14ac:dyDescent="0.2">
      <c r="A332" s="422" t="s">
        <v>847</v>
      </c>
      <c r="B332" s="465">
        <v>151801</v>
      </c>
      <c r="C332" s="400" t="s">
        <v>644</v>
      </c>
      <c r="D332" s="509" t="s">
        <v>223</v>
      </c>
      <c r="E332" s="462" t="s">
        <v>410</v>
      </c>
      <c r="F332" s="463">
        <v>7</v>
      </c>
      <c r="G332" s="463"/>
      <c r="H332" s="403">
        <f t="shared" si="47"/>
        <v>0</v>
      </c>
      <c r="I332" s="405">
        <f t="shared" si="48"/>
        <v>0</v>
      </c>
    </row>
    <row r="333" spans="1:15" s="126" customFormat="1" ht="45" customHeight="1" x14ac:dyDescent="0.2">
      <c r="A333" s="422" t="s">
        <v>848</v>
      </c>
      <c r="B333" s="465">
        <v>151803</v>
      </c>
      <c r="C333" s="400" t="s">
        <v>644</v>
      </c>
      <c r="D333" s="509" t="s">
        <v>289</v>
      </c>
      <c r="E333" s="462" t="s">
        <v>410</v>
      </c>
      <c r="F333" s="463">
        <v>5</v>
      </c>
      <c r="G333" s="463"/>
      <c r="H333" s="403">
        <f t="shared" si="47"/>
        <v>0</v>
      </c>
      <c r="I333" s="405">
        <f t="shared" si="48"/>
        <v>0</v>
      </c>
    </row>
    <row r="334" spans="1:15" s="126" customFormat="1" ht="45" customHeight="1" x14ac:dyDescent="0.2">
      <c r="A334" s="422" t="s">
        <v>849</v>
      </c>
      <c r="B334" s="465">
        <v>151809</v>
      </c>
      <c r="C334" s="400" t="s">
        <v>644</v>
      </c>
      <c r="D334" s="401" t="s">
        <v>524</v>
      </c>
      <c r="E334" s="462" t="s">
        <v>410</v>
      </c>
      <c r="F334" s="463">
        <v>2</v>
      </c>
      <c r="G334" s="463"/>
      <c r="H334" s="403">
        <f t="shared" si="47"/>
        <v>0</v>
      </c>
      <c r="I334" s="405">
        <f t="shared" si="48"/>
        <v>0</v>
      </c>
    </row>
    <row r="335" spans="1:15" s="126" customFormat="1" ht="54.95" customHeight="1" x14ac:dyDescent="0.2">
      <c r="A335" s="422" t="s">
        <v>850</v>
      </c>
      <c r="B335" s="465">
        <v>151811</v>
      </c>
      <c r="C335" s="400" t="s">
        <v>644</v>
      </c>
      <c r="D335" s="509" t="s">
        <v>290</v>
      </c>
      <c r="E335" s="462" t="s">
        <v>410</v>
      </c>
      <c r="F335" s="463">
        <v>4</v>
      </c>
      <c r="G335" s="463"/>
      <c r="H335" s="403">
        <f t="shared" si="47"/>
        <v>0</v>
      </c>
      <c r="I335" s="405">
        <f t="shared" si="48"/>
        <v>0</v>
      </c>
    </row>
    <row r="336" spans="1:15" s="126" customFormat="1" ht="45" customHeight="1" x14ac:dyDescent="0.2">
      <c r="A336" s="422" t="s">
        <v>851</v>
      </c>
      <c r="B336" s="465">
        <v>151805</v>
      </c>
      <c r="C336" s="400" t="s">
        <v>644</v>
      </c>
      <c r="D336" s="509" t="s">
        <v>224</v>
      </c>
      <c r="E336" s="462" t="s">
        <v>410</v>
      </c>
      <c r="F336" s="463">
        <v>1</v>
      </c>
      <c r="G336" s="463"/>
      <c r="H336" s="403">
        <f t="shared" si="47"/>
        <v>0</v>
      </c>
      <c r="I336" s="405">
        <f t="shared" si="48"/>
        <v>0</v>
      </c>
    </row>
    <row r="337" spans="1:15" s="126" customFormat="1" ht="45" customHeight="1" x14ac:dyDescent="0.2">
      <c r="A337" s="422" t="s">
        <v>852</v>
      </c>
      <c r="B337" s="465">
        <v>151819</v>
      </c>
      <c r="C337" s="400" t="s">
        <v>644</v>
      </c>
      <c r="D337" s="401" t="s">
        <v>494</v>
      </c>
      <c r="E337" s="400" t="s">
        <v>410</v>
      </c>
      <c r="F337" s="463">
        <v>1</v>
      </c>
      <c r="G337" s="463"/>
      <c r="H337" s="403">
        <f t="shared" si="47"/>
        <v>0</v>
      </c>
      <c r="I337" s="405">
        <f t="shared" si="48"/>
        <v>0</v>
      </c>
    </row>
    <row r="338" spans="1:15" s="130" customFormat="1" ht="17.25" customHeight="1" x14ac:dyDescent="0.2">
      <c r="A338" s="583" t="s">
        <v>853</v>
      </c>
      <c r="B338" s="583"/>
      <c r="C338" s="583"/>
      <c r="D338" s="583"/>
      <c r="E338" s="583"/>
      <c r="F338" s="583"/>
      <c r="G338" s="583"/>
      <c r="H338" s="583"/>
      <c r="I338" s="406">
        <f>SUM(I330:I337)</f>
        <v>0</v>
      </c>
      <c r="K338" s="242"/>
      <c r="L338" s="242"/>
      <c r="M338" s="242"/>
      <c r="N338" s="242"/>
      <c r="O338" s="242"/>
    </row>
    <row r="339" spans="1:15" s="130" customFormat="1" ht="6" customHeight="1" x14ac:dyDescent="0.2">
      <c r="A339" s="455"/>
      <c r="B339" s="456"/>
      <c r="C339" s="456"/>
      <c r="D339" s="464"/>
      <c r="E339" s="456"/>
      <c r="F339" s="458"/>
      <c r="G339" s="459"/>
      <c r="H339" s="460"/>
      <c r="I339" s="461"/>
      <c r="K339" s="242"/>
      <c r="L339" s="242"/>
      <c r="M339" s="242"/>
      <c r="N339" s="242"/>
      <c r="O339" s="242"/>
    </row>
    <row r="340" spans="1:15" s="261" customFormat="1" ht="18" customHeight="1" x14ac:dyDescent="0.2">
      <c r="A340" s="433" t="s">
        <v>854</v>
      </c>
      <c r="B340" s="434"/>
      <c r="C340" s="435"/>
      <c r="D340" s="447" t="s">
        <v>739</v>
      </c>
      <c r="E340" s="434"/>
      <c r="F340" s="436"/>
      <c r="G340" s="436"/>
      <c r="H340" s="437"/>
      <c r="I340" s="438"/>
      <c r="K340" s="242"/>
      <c r="L340" s="242"/>
      <c r="M340" s="242"/>
      <c r="N340" s="242"/>
      <c r="O340" s="242"/>
    </row>
    <row r="341" spans="1:15" s="241" customFormat="1" ht="15.75" customHeight="1" x14ac:dyDescent="0.2">
      <c r="A341" s="439" t="s">
        <v>855</v>
      </c>
      <c r="B341" s="440"/>
      <c r="C341" s="441"/>
      <c r="D341" s="442" t="s">
        <v>740</v>
      </c>
      <c r="E341" s="400"/>
      <c r="F341" s="425"/>
      <c r="G341" s="425"/>
      <c r="H341" s="443"/>
      <c r="I341" s="426"/>
      <c r="K341" s="242"/>
      <c r="L341" s="242"/>
      <c r="M341" s="242"/>
      <c r="N341" s="242"/>
      <c r="O341" s="242"/>
    </row>
    <row r="342" spans="1:15" s="126" customFormat="1" x14ac:dyDescent="0.2">
      <c r="A342" s="422" t="s">
        <v>856</v>
      </c>
      <c r="B342" s="465">
        <v>88484</v>
      </c>
      <c r="C342" s="398" t="s">
        <v>379</v>
      </c>
      <c r="D342" s="401" t="s">
        <v>881</v>
      </c>
      <c r="E342" s="462" t="s">
        <v>114</v>
      </c>
      <c r="F342" s="463">
        <v>4.4800000000000004</v>
      </c>
      <c r="G342" s="463"/>
      <c r="H342" s="403">
        <f>G342*(1+$I$2)</f>
        <v>0</v>
      </c>
      <c r="I342" s="405">
        <f t="shared" ref="I342:I347" si="49">ROUND(F342*H342,2)</f>
        <v>0</v>
      </c>
    </row>
    <row r="343" spans="1:15" s="126" customFormat="1" ht="25.5" x14ac:dyDescent="0.2">
      <c r="A343" s="422" t="s">
        <v>857</v>
      </c>
      <c r="B343" s="465">
        <v>88488</v>
      </c>
      <c r="C343" s="398" t="s">
        <v>379</v>
      </c>
      <c r="D343" s="401" t="s">
        <v>882</v>
      </c>
      <c r="E343" s="462" t="s">
        <v>114</v>
      </c>
      <c r="F343" s="463">
        <v>4.4800000000000004</v>
      </c>
      <c r="G343" s="463"/>
      <c r="H343" s="403">
        <f>G343*(1+$I$2)</f>
        <v>0</v>
      </c>
      <c r="I343" s="405">
        <f t="shared" si="49"/>
        <v>0</v>
      </c>
    </row>
    <row r="344" spans="1:15" s="126" customFormat="1" x14ac:dyDescent="0.2">
      <c r="A344" s="422" t="s">
        <v>858</v>
      </c>
      <c r="B344" s="465">
        <v>88485</v>
      </c>
      <c r="C344" s="398" t="s">
        <v>379</v>
      </c>
      <c r="D344" s="401" t="s">
        <v>883</v>
      </c>
      <c r="E344" s="462" t="s">
        <v>114</v>
      </c>
      <c r="F344" s="463">
        <v>214.26</v>
      </c>
      <c r="G344" s="463"/>
      <c r="H344" s="403">
        <f>G344*(1+$I$2)</f>
        <v>0</v>
      </c>
      <c r="I344" s="405">
        <f t="shared" si="49"/>
        <v>0</v>
      </c>
    </row>
    <row r="345" spans="1:15" s="126" customFormat="1" ht="25.5" x14ac:dyDescent="0.2">
      <c r="A345" s="422" t="s">
        <v>859</v>
      </c>
      <c r="B345" s="465">
        <v>88489</v>
      </c>
      <c r="C345" s="398" t="s">
        <v>379</v>
      </c>
      <c r="D345" s="401" t="s">
        <v>884</v>
      </c>
      <c r="E345" s="462" t="s">
        <v>114</v>
      </c>
      <c r="F345" s="463">
        <v>214.26</v>
      </c>
      <c r="G345" s="463"/>
      <c r="H345" s="403">
        <f>G345*(1+$I$2)</f>
        <v>0</v>
      </c>
      <c r="I345" s="405">
        <f t="shared" si="49"/>
        <v>0</v>
      </c>
    </row>
    <row r="346" spans="1:15" s="241" customFormat="1" ht="15.75" customHeight="1" x14ac:dyDescent="0.2">
      <c r="A346" s="439" t="s">
        <v>860</v>
      </c>
      <c r="B346" s="440"/>
      <c r="C346" s="441"/>
      <c r="D346" s="442" t="s">
        <v>741</v>
      </c>
      <c r="E346" s="400"/>
      <c r="F346" s="425"/>
      <c r="G346" s="425"/>
      <c r="H346" s="404"/>
      <c r="I346" s="405"/>
      <c r="K346" s="242"/>
      <c r="L346" s="242"/>
      <c r="M346" s="242"/>
      <c r="N346" s="242"/>
      <c r="O346" s="242"/>
    </row>
    <row r="347" spans="1:15" s="126" customFormat="1" ht="30" customHeight="1" x14ac:dyDescent="0.2">
      <c r="A347" s="422" t="s">
        <v>861</v>
      </c>
      <c r="B347" s="465">
        <v>102203</v>
      </c>
      <c r="C347" s="398" t="s">
        <v>379</v>
      </c>
      <c r="D347" s="401" t="s">
        <v>885</v>
      </c>
      <c r="E347" s="462" t="s">
        <v>114</v>
      </c>
      <c r="F347" s="463">
        <v>26.69</v>
      </c>
      <c r="G347" s="463"/>
      <c r="H347" s="403">
        <f>G347*(1+$I$2)</f>
        <v>0</v>
      </c>
      <c r="I347" s="405">
        <f t="shared" si="49"/>
        <v>0</v>
      </c>
    </row>
    <row r="348" spans="1:15" s="130" customFormat="1" ht="17.25" customHeight="1" x14ac:dyDescent="0.2">
      <c r="A348" s="583" t="s">
        <v>862</v>
      </c>
      <c r="B348" s="583"/>
      <c r="C348" s="583"/>
      <c r="D348" s="583"/>
      <c r="E348" s="583"/>
      <c r="F348" s="583"/>
      <c r="G348" s="583"/>
      <c r="H348" s="583"/>
      <c r="I348" s="406">
        <f>SUM(I342:I347)</f>
        <v>0</v>
      </c>
      <c r="K348" s="242"/>
      <c r="L348" s="242"/>
      <c r="M348" s="242"/>
      <c r="N348" s="242"/>
      <c r="O348" s="242"/>
    </row>
    <row r="349" spans="1:15" s="130" customFormat="1" ht="6" customHeight="1" x14ac:dyDescent="0.2">
      <c r="A349" s="455"/>
      <c r="B349" s="456"/>
      <c r="C349" s="456"/>
      <c r="D349" s="464"/>
      <c r="E349" s="456"/>
      <c r="F349" s="458"/>
      <c r="G349" s="459"/>
      <c r="H349" s="460"/>
      <c r="I349" s="461"/>
      <c r="K349" s="242"/>
      <c r="L349" s="242"/>
      <c r="M349" s="242"/>
      <c r="N349" s="242"/>
      <c r="O349" s="242"/>
    </row>
    <row r="350" spans="1:15" s="243" customFormat="1" ht="20.100000000000001" customHeight="1" x14ac:dyDescent="0.2">
      <c r="A350" s="433" t="s">
        <v>863</v>
      </c>
      <c r="B350" s="435"/>
      <c r="C350" s="435"/>
      <c r="D350" s="447" t="s">
        <v>478</v>
      </c>
      <c r="E350" s="434"/>
      <c r="F350" s="436"/>
      <c r="G350" s="436"/>
      <c r="H350" s="437"/>
      <c r="I350" s="438"/>
      <c r="K350" s="242"/>
      <c r="L350" s="242"/>
      <c r="M350" s="242"/>
      <c r="N350" s="242"/>
      <c r="O350" s="242"/>
    </row>
    <row r="351" spans="1:15" s="126" customFormat="1" ht="25.5" x14ac:dyDescent="0.2">
      <c r="A351" s="422" t="s">
        <v>864</v>
      </c>
      <c r="B351" s="505" t="s">
        <v>397</v>
      </c>
      <c r="C351" s="400" t="s">
        <v>644</v>
      </c>
      <c r="D351" s="509" t="s">
        <v>212</v>
      </c>
      <c r="E351" s="462" t="s">
        <v>225</v>
      </c>
      <c r="F351" s="463">
        <v>0.48</v>
      </c>
      <c r="G351" s="463"/>
      <c r="H351" s="403">
        <f t="shared" ref="H351:H357" si="50">G351*(1+$I$2)</f>
        <v>0</v>
      </c>
      <c r="I351" s="405">
        <f t="shared" ref="I351:I357" si="51">ROUND(F351*H351,2)</f>
        <v>0</v>
      </c>
    </row>
    <row r="352" spans="1:15" s="126" customFormat="1" ht="25.5" x14ac:dyDescent="0.2">
      <c r="A352" s="422" t="s">
        <v>865</v>
      </c>
      <c r="B352" s="505" t="s">
        <v>500</v>
      </c>
      <c r="C352" s="398" t="s">
        <v>379</v>
      </c>
      <c r="D352" s="401" t="s">
        <v>887</v>
      </c>
      <c r="E352" s="400" t="s">
        <v>114</v>
      </c>
      <c r="F352" s="463">
        <v>2.65</v>
      </c>
      <c r="G352" s="463"/>
      <c r="H352" s="403">
        <f t="shared" si="50"/>
        <v>0</v>
      </c>
      <c r="I352" s="405">
        <f t="shared" si="51"/>
        <v>0</v>
      </c>
    </row>
    <row r="353" spans="1:9" s="126" customFormat="1" ht="25.5" x14ac:dyDescent="0.2">
      <c r="A353" s="422" t="s">
        <v>866</v>
      </c>
      <c r="B353" s="505" t="s">
        <v>398</v>
      </c>
      <c r="C353" s="400" t="s">
        <v>644</v>
      </c>
      <c r="D353" s="509" t="s">
        <v>252</v>
      </c>
      <c r="E353" s="462" t="s">
        <v>225</v>
      </c>
      <c r="F353" s="463">
        <v>0.14000000000000001</v>
      </c>
      <c r="G353" s="463"/>
      <c r="H353" s="403">
        <f t="shared" si="50"/>
        <v>0</v>
      </c>
      <c r="I353" s="405">
        <f t="shared" si="51"/>
        <v>0</v>
      </c>
    </row>
    <row r="354" spans="1:9" s="126" customFormat="1" ht="38.25" x14ac:dyDescent="0.2">
      <c r="A354" s="422" t="s">
        <v>867</v>
      </c>
      <c r="B354" s="505" t="s">
        <v>400</v>
      </c>
      <c r="C354" s="400" t="s">
        <v>644</v>
      </c>
      <c r="D354" s="509" t="s">
        <v>384</v>
      </c>
      <c r="E354" s="462" t="s">
        <v>225</v>
      </c>
      <c r="F354" s="463">
        <v>0.13</v>
      </c>
      <c r="G354" s="463"/>
      <c r="H354" s="403">
        <f t="shared" si="50"/>
        <v>0</v>
      </c>
      <c r="I354" s="405">
        <f t="shared" si="51"/>
        <v>0</v>
      </c>
    </row>
    <row r="355" spans="1:9" s="126" customFormat="1" ht="38.25" x14ac:dyDescent="0.2">
      <c r="A355" s="422" t="s">
        <v>868</v>
      </c>
      <c r="B355" s="465">
        <v>50501</v>
      </c>
      <c r="C355" s="400" t="s">
        <v>644</v>
      </c>
      <c r="D355" s="401" t="s">
        <v>422</v>
      </c>
      <c r="E355" s="400" t="s">
        <v>114</v>
      </c>
      <c r="F355" s="463">
        <v>2.1</v>
      </c>
      <c r="G355" s="463"/>
      <c r="H355" s="403">
        <f t="shared" si="50"/>
        <v>0</v>
      </c>
      <c r="I355" s="405">
        <f t="shared" si="51"/>
        <v>0</v>
      </c>
    </row>
    <row r="356" spans="1:9" s="126" customFormat="1" ht="25.5" x14ac:dyDescent="0.2">
      <c r="A356" s="422" t="s">
        <v>869</v>
      </c>
      <c r="B356" s="505" t="s">
        <v>711</v>
      </c>
      <c r="C356" s="400" t="s">
        <v>644</v>
      </c>
      <c r="D356" s="509" t="s">
        <v>389</v>
      </c>
      <c r="E356" s="462" t="s">
        <v>114</v>
      </c>
      <c r="F356" s="463">
        <v>7.11</v>
      </c>
      <c r="G356" s="463"/>
      <c r="H356" s="403">
        <f t="shared" si="50"/>
        <v>0</v>
      </c>
      <c r="I356" s="405">
        <f t="shared" si="51"/>
        <v>0</v>
      </c>
    </row>
    <row r="357" spans="1:9" s="126" customFormat="1" ht="25.5" x14ac:dyDescent="0.2">
      <c r="A357" s="422" t="s">
        <v>870</v>
      </c>
      <c r="B357" s="505" t="s">
        <v>483</v>
      </c>
      <c r="C357" s="398" t="s">
        <v>379</v>
      </c>
      <c r="D357" s="401" t="s">
        <v>714</v>
      </c>
      <c r="E357" s="400" t="s">
        <v>114</v>
      </c>
      <c r="F357" s="463">
        <v>8.6</v>
      </c>
      <c r="G357" s="463"/>
      <c r="H357" s="403">
        <f t="shared" si="50"/>
        <v>0</v>
      </c>
      <c r="I357" s="405">
        <f t="shared" si="51"/>
        <v>0</v>
      </c>
    </row>
    <row r="358" spans="1:9" s="130" customFormat="1" ht="17.25" customHeight="1" x14ac:dyDescent="0.2">
      <c r="A358" s="583" t="s">
        <v>874</v>
      </c>
      <c r="B358" s="583"/>
      <c r="C358" s="583"/>
      <c r="D358" s="583"/>
      <c r="E358" s="583"/>
      <c r="F358" s="583"/>
      <c r="G358" s="583"/>
      <c r="H358" s="583"/>
      <c r="I358" s="406">
        <f>SUM(I351:I357)</f>
        <v>0</v>
      </c>
    </row>
    <row r="359" spans="1:9" s="130" customFormat="1" ht="6" customHeight="1" x14ac:dyDescent="0.2">
      <c r="A359" s="455"/>
      <c r="B359" s="456"/>
      <c r="C359" s="456"/>
      <c r="D359" s="464"/>
      <c r="E359" s="456"/>
      <c r="F359" s="458"/>
      <c r="G359" s="459"/>
      <c r="H359" s="460"/>
      <c r="I359" s="461"/>
    </row>
    <row r="360" spans="1:9" s="243" customFormat="1" ht="20.100000000000001" customHeight="1" x14ac:dyDescent="0.2">
      <c r="A360" s="433" t="s">
        <v>871</v>
      </c>
      <c r="B360" s="434"/>
      <c r="C360" s="435"/>
      <c r="D360" s="447" t="s">
        <v>872</v>
      </c>
      <c r="E360" s="434"/>
      <c r="F360" s="436"/>
      <c r="G360" s="436"/>
      <c r="H360" s="437"/>
      <c r="I360" s="438"/>
    </row>
    <row r="361" spans="1:9" s="126" customFormat="1" ht="25.5" customHeight="1" x14ac:dyDescent="0.2">
      <c r="A361" s="398" t="s">
        <v>894</v>
      </c>
      <c r="B361" s="465">
        <v>200401</v>
      </c>
      <c r="C361" s="400" t="s">
        <v>644</v>
      </c>
      <c r="D361" s="401" t="s">
        <v>421</v>
      </c>
      <c r="E361" s="462" t="s">
        <v>114</v>
      </c>
      <c r="F361" s="463">
        <v>50.39</v>
      </c>
      <c r="G361" s="463"/>
      <c r="H361" s="403">
        <f>G361*(1+$I$2)</f>
        <v>0</v>
      </c>
      <c r="I361" s="405">
        <f t="shared" ref="I361" si="52">ROUND(F361*H361,2)</f>
        <v>0</v>
      </c>
    </row>
    <row r="362" spans="1:9" s="130" customFormat="1" ht="17.25" customHeight="1" x14ac:dyDescent="0.2">
      <c r="A362" s="583" t="s">
        <v>873</v>
      </c>
      <c r="B362" s="583"/>
      <c r="C362" s="583"/>
      <c r="D362" s="583"/>
      <c r="E362" s="583"/>
      <c r="F362" s="583"/>
      <c r="G362" s="583"/>
      <c r="H362" s="583"/>
      <c r="I362" s="406">
        <f>SUM(I361)</f>
        <v>0</v>
      </c>
    </row>
    <row r="363" spans="1:9" ht="6" customHeight="1" x14ac:dyDescent="0.2">
      <c r="A363" s="407"/>
      <c r="B363" s="408"/>
      <c r="C363" s="408"/>
      <c r="D363" s="409"/>
      <c r="E363" s="408"/>
      <c r="F363" s="410"/>
      <c r="G363" s="411"/>
      <c r="H363" s="431"/>
      <c r="I363" s="449"/>
    </row>
    <row r="364" spans="1:9" s="126" customFormat="1" x14ac:dyDescent="0.2">
      <c r="A364" s="587" t="s">
        <v>640</v>
      </c>
      <c r="B364" s="588"/>
      <c r="C364" s="588"/>
      <c r="D364" s="588"/>
      <c r="E364" s="588"/>
      <c r="F364" s="588"/>
      <c r="G364" s="588"/>
      <c r="H364" s="589"/>
      <c r="I364" s="451">
        <f>I362+I358+I348+I338+I327+I314+I302+I281+I271+I263+I258+I251+I236+I228+I223+I218+I203+I195</f>
        <v>0</v>
      </c>
    </row>
    <row r="365" spans="1:9" s="126" customFormat="1" ht="6" customHeight="1" x14ac:dyDescent="0.2">
      <c r="A365" s="452"/>
      <c r="B365" s="453"/>
      <c r="C365" s="453"/>
      <c r="D365" s="453"/>
      <c r="E365" s="453"/>
      <c r="F365" s="453"/>
      <c r="G365" s="453"/>
      <c r="H365" s="453"/>
      <c r="I365" s="454"/>
    </row>
    <row r="366" spans="1:9" s="126" customFormat="1" ht="34.5" customHeight="1" x14ac:dyDescent="0.2">
      <c r="A366" s="393" t="s">
        <v>914</v>
      </c>
      <c r="B366" s="394"/>
      <c r="C366" s="394"/>
      <c r="D366" s="503" t="s">
        <v>981</v>
      </c>
      <c r="E366" s="396"/>
      <c r="F366" s="396"/>
      <c r="G366" s="393"/>
      <c r="H366" s="393"/>
      <c r="I366" s="397"/>
    </row>
    <row r="367" spans="1:9" s="126" customFormat="1" ht="38.25" x14ac:dyDescent="0.2">
      <c r="A367" s="398" t="s">
        <v>965</v>
      </c>
      <c r="B367" s="598" t="s">
        <v>961</v>
      </c>
      <c r="C367" s="599"/>
      <c r="D367" s="401" t="s">
        <v>916</v>
      </c>
      <c r="E367" s="402" t="s">
        <v>225</v>
      </c>
      <c r="F367" s="402">
        <v>7558.67</v>
      </c>
      <c r="G367" s="403"/>
      <c r="H367" s="403">
        <f>G367*(1+$I$2)</f>
        <v>0</v>
      </c>
      <c r="I367" s="405">
        <f t="shared" ref="I367:I373" si="53">ROUND(F367*H367,2)</f>
        <v>0</v>
      </c>
    </row>
    <row r="368" spans="1:9" s="126" customFormat="1" ht="25.5" x14ac:dyDescent="0.2">
      <c r="A368" s="398" t="s">
        <v>966</v>
      </c>
      <c r="B368" s="428" t="s">
        <v>964</v>
      </c>
      <c r="C368" s="428" t="s">
        <v>963</v>
      </c>
      <c r="D368" s="401" t="s">
        <v>962</v>
      </c>
      <c r="E368" s="402" t="s">
        <v>225</v>
      </c>
      <c r="F368" s="402">
        <v>178.4</v>
      </c>
      <c r="G368" s="403"/>
      <c r="H368" s="403">
        <f t="shared" ref="H368:H373" si="54">G368*(1+$I$2)</f>
        <v>0</v>
      </c>
      <c r="I368" s="405">
        <f t="shared" si="53"/>
        <v>0</v>
      </c>
    </row>
    <row r="369" spans="1:9" s="126" customFormat="1" ht="25.5" x14ac:dyDescent="0.2">
      <c r="A369" s="398" t="s">
        <v>975</v>
      </c>
      <c r="B369" s="399" t="s">
        <v>967</v>
      </c>
      <c r="C369" s="428" t="s">
        <v>963</v>
      </c>
      <c r="D369" s="401" t="s">
        <v>968</v>
      </c>
      <c r="E369" s="402" t="s">
        <v>971</v>
      </c>
      <c r="F369" s="402">
        <v>12</v>
      </c>
      <c r="G369" s="403"/>
      <c r="H369" s="403">
        <f t="shared" si="54"/>
        <v>0</v>
      </c>
      <c r="I369" s="405">
        <f t="shared" si="53"/>
        <v>0</v>
      </c>
    </row>
    <row r="370" spans="1:9" s="126" customFormat="1" ht="25.5" x14ac:dyDescent="0.2">
      <c r="A370" s="398" t="s">
        <v>977</v>
      </c>
      <c r="B370" s="399" t="s">
        <v>978</v>
      </c>
      <c r="C370" s="428" t="s">
        <v>963</v>
      </c>
      <c r="D370" s="401" t="s">
        <v>979</v>
      </c>
      <c r="E370" s="400" t="s">
        <v>971</v>
      </c>
      <c r="F370" s="402">
        <v>4</v>
      </c>
      <c r="G370" s="403"/>
      <c r="H370" s="403">
        <f>G370*(1+$I$2)</f>
        <v>0</v>
      </c>
      <c r="I370" s="405">
        <f t="shared" si="53"/>
        <v>0</v>
      </c>
    </row>
    <row r="371" spans="1:9" s="126" customFormat="1" ht="25.5" x14ac:dyDescent="0.2">
      <c r="A371" s="398" t="s">
        <v>976</v>
      </c>
      <c r="B371" s="399" t="s">
        <v>969</v>
      </c>
      <c r="C371" s="428" t="s">
        <v>963</v>
      </c>
      <c r="D371" s="401" t="s">
        <v>970</v>
      </c>
      <c r="E371" s="400" t="s">
        <v>971</v>
      </c>
      <c r="F371" s="402">
        <v>8</v>
      </c>
      <c r="G371" s="403"/>
      <c r="H371" s="403">
        <f t="shared" si="54"/>
        <v>0</v>
      </c>
      <c r="I371" s="405">
        <f t="shared" si="53"/>
        <v>0</v>
      </c>
    </row>
    <row r="372" spans="1:9" s="126" customFormat="1" ht="25.5" x14ac:dyDescent="0.2">
      <c r="A372" s="398" t="s">
        <v>980</v>
      </c>
      <c r="B372" s="399" t="s">
        <v>973</v>
      </c>
      <c r="C372" s="428" t="s">
        <v>963</v>
      </c>
      <c r="D372" s="401" t="s">
        <v>974</v>
      </c>
      <c r="E372" s="400" t="s">
        <v>114</v>
      </c>
      <c r="F372" s="402">
        <v>946.64</v>
      </c>
      <c r="G372" s="403"/>
      <c r="H372" s="403">
        <f t="shared" si="54"/>
        <v>0</v>
      </c>
      <c r="I372" s="405">
        <f t="shared" si="53"/>
        <v>0</v>
      </c>
    </row>
    <row r="373" spans="1:9" s="126" customFormat="1" ht="25.5" x14ac:dyDescent="0.2">
      <c r="A373" s="398" t="s">
        <v>986</v>
      </c>
      <c r="B373" s="505" t="s">
        <v>983</v>
      </c>
      <c r="C373" s="400" t="s">
        <v>644</v>
      </c>
      <c r="D373" s="401" t="s">
        <v>984</v>
      </c>
      <c r="E373" s="400" t="s">
        <v>985</v>
      </c>
      <c r="F373" s="402">
        <v>0.5</v>
      </c>
      <c r="G373" s="403"/>
      <c r="H373" s="403">
        <f t="shared" si="54"/>
        <v>0</v>
      </c>
      <c r="I373" s="405">
        <f t="shared" si="53"/>
        <v>0</v>
      </c>
    </row>
    <row r="374" spans="1:9" s="126" customFormat="1" x14ac:dyDescent="0.2">
      <c r="A374" s="583" t="s">
        <v>915</v>
      </c>
      <c r="B374" s="583"/>
      <c r="C374" s="583"/>
      <c r="D374" s="583"/>
      <c r="E374" s="583"/>
      <c r="F374" s="583"/>
      <c r="G374" s="583"/>
      <c r="H374" s="583"/>
      <c r="I374" s="406">
        <f>SUM(I367:I373)</f>
        <v>0</v>
      </c>
    </row>
    <row r="375" spans="1:9" s="126" customFormat="1" ht="29.25" customHeight="1" x14ac:dyDescent="0.2">
      <c r="A375" s="594"/>
      <c r="B375" s="594"/>
      <c r="C375" s="594"/>
      <c r="D375" s="594"/>
      <c r="E375" s="594"/>
      <c r="F375" s="594"/>
      <c r="G375" s="594"/>
      <c r="H375" s="594"/>
      <c r="I375" s="594"/>
    </row>
    <row r="376" spans="1:9" ht="24.95" customHeight="1" x14ac:dyDescent="0.2">
      <c r="A376" s="595" t="s">
        <v>895</v>
      </c>
      <c r="B376" s="595"/>
      <c r="C376" s="595"/>
      <c r="D376" s="595"/>
      <c r="E376" s="595"/>
      <c r="F376" s="595"/>
      <c r="G376" s="595"/>
      <c r="H376" s="596">
        <f>I18</f>
        <v>0</v>
      </c>
      <c r="I376" s="597"/>
    </row>
    <row r="377" spans="1:9" ht="24.95" customHeight="1" x14ac:dyDescent="0.2">
      <c r="A377" s="595" t="s">
        <v>896</v>
      </c>
      <c r="B377" s="595"/>
      <c r="C377" s="595"/>
      <c r="D377" s="595"/>
      <c r="E377" s="595"/>
      <c r="F377" s="595"/>
      <c r="G377" s="595"/>
      <c r="H377" s="596">
        <f>I190</f>
        <v>0</v>
      </c>
      <c r="I377" s="597"/>
    </row>
    <row r="378" spans="1:9" ht="24.95" customHeight="1" x14ac:dyDescent="0.2">
      <c r="A378" s="595" t="s">
        <v>897</v>
      </c>
      <c r="B378" s="595"/>
      <c r="C378" s="595"/>
      <c r="D378" s="595"/>
      <c r="E378" s="595"/>
      <c r="F378" s="595"/>
      <c r="G378" s="595"/>
      <c r="H378" s="596">
        <f>H377*29</f>
        <v>0</v>
      </c>
      <c r="I378" s="597"/>
    </row>
    <row r="379" spans="1:9" ht="24.95" customHeight="1" x14ac:dyDescent="0.2">
      <c r="A379" s="595" t="s">
        <v>898</v>
      </c>
      <c r="B379" s="595"/>
      <c r="C379" s="595"/>
      <c r="D379" s="595"/>
      <c r="E379" s="595"/>
      <c r="F379" s="595"/>
      <c r="G379" s="595"/>
      <c r="H379" s="596">
        <f>I364</f>
        <v>0</v>
      </c>
      <c r="I379" s="597"/>
    </row>
    <row r="380" spans="1:9" ht="24.95" customHeight="1" x14ac:dyDescent="0.2">
      <c r="A380" s="595" t="s">
        <v>899</v>
      </c>
      <c r="B380" s="595"/>
      <c r="C380" s="595"/>
      <c r="D380" s="595"/>
      <c r="E380" s="595"/>
      <c r="F380" s="595"/>
      <c r="G380" s="595"/>
      <c r="H380" s="596">
        <f>H379*3</f>
        <v>0</v>
      </c>
      <c r="I380" s="597"/>
    </row>
    <row r="381" spans="1:9" ht="24.95" customHeight="1" x14ac:dyDescent="0.2">
      <c r="A381" s="595" t="s">
        <v>972</v>
      </c>
      <c r="B381" s="595"/>
      <c r="C381" s="595"/>
      <c r="D381" s="595"/>
      <c r="E381" s="595"/>
      <c r="F381" s="595"/>
      <c r="G381" s="595"/>
      <c r="H381" s="596">
        <f>I374</f>
        <v>0</v>
      </c>
      <c r="I381" s="597"/>
    </row>
    <row r="382" spans="1:9" ht="24.95" customHeight="1" x14ac:dyDescent="0.2">
      <c r="A382" s="601" t="s">
        <v>900</v>
      </c>
      <c r="B382" s="601"/>
      <c r="C382" s="601"/>
      <c r="D382" s="601"/>
      <c r="E382" s="601"/>
      <c r="F382" s="601"/>
      <c r="G382" s="601"/>
      <c r="H382" s="602">
        <f>H376+H378+H380+H381</f>
        <v>0</v>
      </c>
      <c r="I382" s="603"/>
    </row>
    <row r="383" spans="1:9" ht="13.5" thickBot="1" x14ac:dyDescent="0.25">
      <c r="A383" s="380"/>
      <c r="B383" s="381"/>
      <c r="C383" s="381"/>
      <c r="D383" s="381"/>
      <c r="E383" s="381"/>
      <c r="F383" s="381"/>
      <c r="G383" s="382"/>
      <c r="H383" s="382"/>
      <c r="I383" s="383"/>
    </row>
    <row r="384" spans="1:9" s="251" customFormat="1" ht="15" customHeight="1" x14ac:dyDescent="0.2">
      <c r="A384" s="600" t="s">
        <v>452</v>
      </c>
      <c r="B384" s="600"/>
      <c r="C384" s="600"/>
      <c r="D384" s="600"/>
      <c r="E384" s="600"/>
      <c r="F384" s="600"/>
      <c r="G384" s="600"/>
      <c r="H384" s="600"/>
      <c r="I384" s="600"/>
    </row>
    <row r="385" spans="1:13" s="251" customFormat="1" ht="28.5" customHeight="1" x14ac:dyDescent="0.2">
      <c r="A385" s="590" t="s">
        <v>982</v>
      </c>
      <c r="B385" s="590"/>
      <c r="C385" s="590"/>
      <c r="D385" s="590"/>
      <c r="E385" s="590"/>
      <c r="F385" s="590"/>
      <c r="G385" s="590"/>
      <c r="H385" s="590"/>
      <c r="I385" s="590"/>
    </row>
    <row r="386" spans="1:13" x14ac:dyDescent="0.2">
      <c r="A386" s="576" t="s">
        <v>912</v>
      </c>
      <c r="B386" s="577"/>
      <c r="C386" s="577"/>
      <c r="D386" s="577"/>
      <c r="E386" s="577"/>
      <c r="F386" s="577"/>
      <c r="G386" s="577"/>
      <c r="H386" s="577"/>
      <c r="I386" s="578"/>
    </row>
    <row r="387" spans="1:13" x14ac:dyDescent="0.2">
      <c r="M387" s="259"/>
    </row>
  </sheetData>
  <mergeCells count="68">
    <mergeCell ref="A374:H374"/>
    <mergeCell ref="B367:C367"/>
    <mergeCell ref="A381:G381"/>
    <mergeCell ref="H381:I381"/>
    <mergeCell ref="A384:I384"/>
    <mergeCell ref="A382:G382"/>
    <mergeCell ref="A376:G376"/>
    <mergeCell ref="A377:G377"/>
    <mergeCell ref="H382:I382"/>
    <mergeCell ref="A385:I385"/>
    <mergeCell ref="G2:H2"/>
    <mergeCell ref="G4:H4"/>
    <mergeCell ref="A2:F2"/>
    <mergeCell ref="A375:I375"/>
    <mergeCell ref="A314:H314"/>
    <mergeCell ref="A327:H327"/>
    <mergeCell ref="A338:H338"/>
    <mergeCell ref="A380:G380"/>
    <mergeCell ref="A379:G379"/>
    <mergeCell ref="H376:I376"/>
    <mergeCell ref="H377:I377"/>
    <mergeCell ref="H379:I379"/>
    <mergeCell ref="H380:I380"/>
    <mergeCell ref="A378:G378"/>
    <mergeCell ref="H378:I378"/>
    <mergeCell ref="A174:H174"/>
    <mergeCell ref="A223:H223"/>
    <mergeCell ref="A218:H218"/>
    <mergeCell ref="A348:H348"/>
    <mergeCell ref="A358:H358"/>
    <mergeCell ref="A188:H188"/>
    <mergeCell ref="A192:I192"/>
    <mergeCell ref="A190:H190"/>
    <mergeCell ref="A362:H362"/>
    <mergeCell ref="A364:H364"/>
    <mergeCell ref="A228:H228"/>
    <mergeCell ref="A251:H251"/>
    <mergeCell ref="A258:H258"/>
    <mergeCell ref="A236:H236"/>
    <mergeCell ref="A263:H263"/>
    <mergeCell ref="A271:H271"/>
    <mergeCell ref="A51:H51"/>
    <mergeCell ref="A9:I9"/>
    <mergeCell ref="A18:H18"/>
    <mergeCell ref="A20:I20"/>
    <mergeCell ref="A23:H23"/>
    <mergeCell ref="A46:H46"/>
    <mergeCell ref="A85:H85"/>
    <mergeCell ref="A90:H90"/>
    <mergeCell ref="A98:H98"/>
    <mergeCell ref="A108:H108"/>
    <mergeCell ref="A129:H129"/>
    <mergeCell ref="F5:H5"/>
    <mergeCell ref="A386:I386"/>
    <mergeCell ref="A3:F3"/>
    <mergeCell ref="G3:H3"/>
    <mergeCell ref="A281:H281"/>
    <mergeCell ref="A302:H302"/>
    <mergeCell ref="A140:H140"/>
    <mergeCell ref="A153:H153"/>
    <mergeCell ref="A164:H164"/>
    <mergeCell ref="A64:H64"/>
    <mergeCell ref="A31:H31"/>
    <mergeCell ref="A56:H56"/>
    <mergeCell ref="A78:H78"/>
    <mergeCell ref="A203:H203"/>
    <mergeCell ref="A195:H195"/>
    <mergeCell ref="A184:H184"/>
  </mergeCells>
  <phoneticPr fontId="17" type="noConversion"/>
  <hyperlinks>
    <hyperlink ref="B61" r:id="rId1" display="http://www2.rio.rj.gov.br/sco/composicaosco.cfm?item=1RV09050350A202101" xr:uid="{00000000-0004-0000-0300-000000000000}"/>
    <hyperlink ref="B233" r:id="rId2" display="http://www2.rio.rj.gov.br/sco/composicaosco.cfm?item=1RV09050350A202101" xr:uid="{00000000-0004-0000-0300-000001000000}"/>
  </hyperlinks>
  <printOptions horizontalCentered="1"/>
  <pageMargins left="0.98425196850393704" right="0.39370078740157483" top="0.59055118110236227" bottom="0.78740157480314965" header="0" footer="0"/>
  <pageSetup paperSize="9" scale="56" fitToHeight="0" orientation="portrait" verticalDpi="300" r:id="rId3"/>
  <headerFooter alignWithMargins="0">
    <oddFooter>&amp;L&amp;8   &amp;C&amp;8&amp;P/&amp;N&amp;R     &amp;F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8"/>
  <sheetViews>
    <sheetView view="pageBreakPreview" zoomScaleSheetLayoutView="100" workbookViewId="0">
      <pane xSplit="4" ySplit="9" topLeftCell="E10" activePane="bottomRight" state="frozen"/>
      <selection pane="topRight" activeCell="C1" sqref="C1"/>
      <selection pane="bottomLeft" activeCell="A10" sqref="A10"/>
      <selection pane="bottomRight" activeCell="H114" sqref="H114"/>
    </sheetView>
  </sheetViews>
  <sheetFormatPr defaultRowHeight="12.75" x14ac:dyDescent="0.2"/>
  <cols>
    <col min="1" max="1" width="8.5703125" customWidth="1"/>
    <col min="2" max="2" width="10.85546875" customWidth="1"/>
    <col min="3" max="3" width="10.28515625" customWidth="1"/>
    <col min="4" max="4" width="62.42578125" customWidth="1"/>
    <col min="5" max="5" width="8.85546875" customWidth="1"/>
    <col min="6" max="6" width="12.7109375" customWidth="1"/>
    <col min="7" max="7" width="12" customWidth="1"/>
    <col min="8" max="8" width="15.42578125" customWidth="1"/>
    <col min="9" max="9" width="17.85546875" hidden="1" customWidth="1"/>
    <col min="10" max="10" width="7" hidden="1" customWidth="1"/>
    <col min="11" max="11" width="10.85546875" hidden="1" customWidth="1"/>
    <col min="12" max="12" width="10.28515625" bestFit="1" customWidth="1"/>
  </cols>
  <sheetData>
    <row r="1" spans="1:16" ht="12.75" customHeight="1" x14ac:dyDescent="0.2">
      <c r="A1" s="550" t="s">
        <v>234</v>
      </c>
      <c r="B1" s="551"/>
      <c r="C1" s="551"/>
      <c r="D1" s="551"/>
      <c r="E1" s="551"/>
      <c r="F1" s="551"/>
      <c r="G1" s="551"/>
      <c r="H1" s="552"/>
      <c r="I1" s="143"/>
    </row>
    <row r="2" spans="1:16" ht="15" customHeight="1" x14ac:dyDescent="0.2">
      <c r="A2" s="553"/>
      <c r="B2" s="554"/>
      <c r="C2" s="554"/>
      <c r="D2" s="554"/>
      <c r="E2" s="554"/>
      <c r="F2" s="554"/>
      <c r="G2" s="554"/>
      <c r="H2" s="555"/>
      <c r="I2" s="132"/>
    </row>
    <row r="3" spans="1:16" ht="15.75" customHeight="1" x14ac:dyDescent="0.2">
      <c r="A3" s="556" t="s">
        <v>235</v>
      </c>
      <c r="B3" s="557"/>
      <c r="C3" s="557"/>
      <c r="D3" s="557"/>
      <c r="E3" s="557"/>
      <c r="F3" s="557"/>
      <c r="G3" s="557"/>
      <c r="H3" s="558"/>
      <c r="L3" s="150">
        <f>(5.6*2+7*2+2*2+1.5+2.5)*0.1*0.15+2*0.1*0.15*2+1.4*0.1*0.15+2.6*0.1*0.1</f>
        <v>0.61</v>
      </c>
      <c r="M3">
        <f>(5.6+5.6+7+7+2+2+1.4+2.65)</f>
        <v>33.25</v>
      </c>
    </row>
    <row r="4" spans="1:16" ht="15.75" customHeight="1" x14ac:dyDescent="0.2">
      <c r="A4" s="559" t="s">
        <v>377</v>
      </c>
      <c r="B4" s="560"/>
      <c r="C4" s="560"/>
      <c r="D4" s="560"/>
      <c r="E4" s="560"/>
      <c r="F4" s="560"/>
      <c r="G4" s="560"/>
      <c r="H4" s="561"/>
      <c r="K4" s="123" t="s">
        <v>210</v>
      </c>
      <c r="O4" s="86">
        <f>O6-F21</f>
        <v>-1.45</v>
      </c>
    </row>
    <row r="5" spans="1:16" ht="17.25" customHeight="1" x14ac:dyDescent="0.2">
      <c r="A5" s="562" t="s">
        <v>378</v>
      </c>
      <c r="B5" s="563"/>
      <c r="C5" s="563"/>
      <c r="D5" s="563"/>
      <c r="E5" s="563"/>
      <c r="F5" s="563"/>
      <c r="G5" s="563"/>
      <c r="H5" s="564"/>
      <c r="I5" s="131"/>
      <c r="M5" s="86"/>
      <c r="O5" s="86"/>
    </row>
    <row r="6" spans="1:16" ht="17.25" customHeight="1" x14ac:dyDescent="0.2">
      <c r="A6" s="190" t="s">
        <v>236</v>
      </c>
      <c r="B6" s="185"/>
      <c r="C6" s="186"/>
      <c r="D6" s="186"/>
      <c r="E6" s="186"/>
      <c r="F6" s="186"/>
      <c r="G6" s="186"/>
      <c r="H6" s="189"/>
      <c r="I6" s="144"/>
      <c r="L6" s="150">
        <f>(5.6*2+7*2+2*2+1.5+2.5)*0.25*0.12+2*0.25*0.12*2+1.4*0.25*0.12+2.5*0.25*0.12</f>
        <v>1.23</v>
      </c>
      <c r="M6">
        <f>0.4*0.4*0.4*12+2.65*0.15*0.2*12</f>
        <v>1.722</v>
      </c>
      <c r="O6" s="86">
        <f>L6+L3+M6+N6</f>
        <v>3.56</v>
      </c>
    </row>
    <row r="7" spans="1:16" ht="17.25" customHeight="1" thickBot="1" x14ac:dyDescent="0.25">
      <c r="A7" s="191" t="s">
        <v>335</v>
      </c>
      <c r="B7" s="192"/>
      <c r="C7" s="193"/>
      <c r="D7" s="194"/>
      <c r="E7" s="194"/>
      <c r="F7" s="194"/>
      <c r="G7" s="194"/>
      <c r="H7" s="195"/>
      <c r="I7" s="144"/>
    </row>
    <row r="8" spans="1:16" x14ac:dyDescent="0.2">
      <c r="A8" s="565" t="s">
        <v>5</v>
      </c>
      <c r="B8" s="567" t="s">
        <v>237</v>
      </c>
      <c r="C8" s="567" t="s">
        <v>238</v>
      </c>
      <c r="D8" s="569" t="s">
        <v>6</v>
      </c>
      <c r="E8" s="571" t="s">
        <v>7</v>
      </c>
      <c r="F8" s="571" t="s">
        <v>8</v>
      </c>
      <c r="G8" s="136" t="s">
        <v>9</v>
      </c>
      <c r="H8" s="137" t="s">
        <v>10</v>
      </c>
      <c r="I8" s="544" t="s">
        <v>11</v>
      </c>
      <c r="K8" s="124"/>
    </row>
    <row r="9" spans="1:16" ht="13.5" thickBot="1" x14ac:dyDescent="0.25">
      <c r="A9" s="566"/>
      <c r="B9" s="568"/>
      <c r="C9" s="568"/>
      <c r="D9" s="570"/>
      <c r="E9" s="572"/>
      <c r="F9" s="572"/>
      <c r="G9" s="138" t="s">
        <v>13</v>
      </c>
      <c r="H9" s="139" t="s">
        <v>14</v>
      </c>
      <c r="I9" s="545"/>
      <c r="K9" s="124"/>
    </row>
    <row r="10" spans="1:16" x14ac:dyDescent="0.2">
      <c r="A10" s="187"/>
      <c r="B10" s="187"/>
      <c r="C10" s="187"/>
      <c r="D10" s="183"/>
      <c r="E10" s="184"/>
      <c r="F10" s="184"/>
      <c r="G10" s="188"/>
      <c r="H10" s="188"/>
      <c r="I10" s="133"/>
    </row>
    <row r="11" spans="1:16" x14ac:dyDescent="0.2">
      <c r="A11" s="166" t="s">
        <v>23</v>
      </c>
      <c r="B11" s="166"/>
      <c r="C11" s="166"/>
      <c r="D11" s="167" t="s">
        <v>36</v>
      </c>
      <c r="E11" s="177"/>
      <c r="F11" s="177"/>
      <c r="G11" s="177" t="s">
        <v>233</v>
      </c>
      <c r="H11" s="179">
        <f>SUM(H13+H12)</f>
        <v>714.64</v>
      </c>
      <c r="I11" s="134"/>
      <c r="K11" s="123"/>
    </row>
    <row r="12" spans="1:16" x14ac:dyDescent="0.2">
      <c r="A12" s="147" t="s">
        <v>15</v>
      </c>
      <c r="B12" s="147">
        <v>10501</v>
      </c>
      <c r="C12" s="147" t="s">
        <v>239</v>
      </c>
      <c r="D12" s="148" t="s">
        <v>37</v>
      </c>
      <c r="E12" s="149" t="s">
        <v>38</v>
      </c>
      <c r="F12" s="150">
        <v>39.200000000000003</v>
      </c>
      <c r="G12" s="151">
        <f>P12</f>
        <v>9.49</v>
      </c>
      <c r="H12" s="180">
        <f>F12*G12</f>
        <v>372.01</v>
      </c>
      <c r="I12" s="134">
        <f>H12*10</f>
        <v>3720.1</v>
      </c>
      <c r="K12" s="15">
        <v>2.85</v>
      </c>
      <c r="L12" s="196">
        <v>0.28000000000000003</v>
      </c>
      <c r="M12">
        <v>10.54</v>
      </c>
      <c r="N12">
        <f>L12*M12</f>
        <v>2.9512</v>
      </c>
      <c r="O12">
        <f>M12-N12</f>
        <v>7.5888</v>
      </c>
      <c r="P12">
        <f>O12*1.25</f>
        <v>9.4860000000000007</v>
      </c>
    </row>
    <row r="13" spans="1:16" ht="38.25" x14ac:dyDescent="0.2">
      <c r="A13" s="147" t="s">
        <v>204</v>
      </c>
      <c r="B13" s="147">
        <v>20347</v>
      </c>
      <c r="C13" s="147" t="s">
        <v>239</v>
      </c>
      <c r="D13" s="152" t="s">
        <v>211</v>
      </c>
      <c r="E13" s="153" t="s">
        <v>114</v>
      </c>
      <c r="F13" s="154">
        <v>9</v>
      </c>
      <c r="G13" s="151">
        <f>P13</f>
        <v>38.07</v>
      </c>
      <c r="H13" s="180">
        <f>F13*G13</f>
        <v>342.63</v>
      </c>
      <c r="I13" s="134">
        <f>H13*10</f>
        <v>3426.3</v>
      </c>
      <c r="K13" s="15"/>
      <c r="L13" s="196">
        <v>0.28000000000000003</v>
      </c>
      <c r="M13">
        <v>42.3</v>
      </c>
      <c r="N13">
        <f>L13*M13</f>
        <v>11.843999999999999</v>
      </c>
      <c r="O13">
        <f>M13-N13</f>
        <v>30.456</v>
      </c>
      <c r="P13">
        <f>O13*1.25</f>
        <v>38.07</v>
      </c>
    </row>
    <row r="14" spans="1:16" x14ac:dyDescent="0.2">
      <c r="A14" s="166" t="s">
        <v>30</v>
      </c>
      <c r="B14" s="166"/>
      <c r="C14" s="166"/>
      <c r="D14" s="167" t="s">
        <v>39</v>
      </c>
      <c r="E14" s="172"/>
      <c r="F14" s="173"/>
      <c r="G14" s="173" t="s">
        <v>233</v>
      </c>
      <c r="H14" s="174">
        <f>H15+H16+H17+H18+H19+H20+H21+H22+H23+H24</f>
        <v>15999.36</v>
      </c>
      <c r="I14" s="134"/>
    </row>
    <row r="15" spans="1:16" s="126" customFormat="1" ht="25.5" x14ac:dyDescent="0.2">
      <c r="A15" s="147" t="s">
        <v>33</v>
      </c>
      <c r="B15" s="147">
        <v>30101</v>
      </c>
      <c r="C15" s="147" t="s">
        <v>239</v>
      </c>
      <c r="D15" s="155" t="s">
        <v>212</v>
      </c>
      <c r="E15" s="156" t="s">
        <v>41</v>
      </c>
      <c r="F15" s="150">
        <f>1.5*0.8*0.8*12+(5.6+5.6+7+7+2+2+1.4+2.65)*0.35*0.35</f>
        <v>15.59</v>
      </c>
      <c r="G15" s="151">
        <f t="shared" ref="G15:G24" si="0">P15</f>
        <v>35.69</v>
      </c>
      <c r="H15" s="180">
        <f t="shared" ref="H15:H24" si="1">F15*G15</f>
        <v>556.41</v>
      </c>
      <c r="I15" s="134">
        <f>H15*10</f>
        <v>5564.1</v>
      </c>
      <c r="K15" s="15">
        <v>12.69</v>
      </c>
      <c r="L15" s="196">
        <v>0.28000000000000003</v>
      </c>
      <c r="M15">
        <v>39.659999999999997</v>
      </c>
      <c r="N15">
        <f t="shared" ref="N15:N24" si="2">L15*M15</f>
        <v>11.104799999999999</v>
      </c>
      <c r="O15">
        <f t="shared" ref="O15:O24" si="3">M15-N15</f>
        <v>28.555199999999999</v>
      </c>
      <c r="P15">
        <f t="shared" ref="P15:P24" si="4">O15*1.25</f>
        <v>35.694000000000003</v>
      </c>
    </row>
    <row r="16" spans="1:16" s="126" customFormat="1" x14ac:dyDescent="0.2">
      <c r="A16" s="147" t="s">
        <v>42</v>
      </c>
      <c r="B16" s="147">
        <v>30201</v>
      </c>
      <c r="C16" s="147" t="s">
        <v>239</v>
      </c>
      <c r="D16" s="155" t="s">
        <v>252</v>
      </c>
      <c r="E16" s="156" t="s">
        <v>41</v>
      </c>
      <c r="F16" s="150">
        <f>(5.6*2+7*2+2.05*2+1.5+2.5)*0.1*2*0.45</f>
        <v>3</v>
      </c>
      <c r="G16" s="151">
        <f>P16</f>
        <v>38.44</v>
      </c>
      <c r="H16" s="180">
        <f>F16*G16</f>
        <v>115.32</v>
      </c>
      <c r="I16" s="134"/>
      <c r="K16" s="15"/>
      <c r="L16" s="196">
        <v>0.28000000000000003</v>
      </c>
      <c r="M16">
        <v>42.71</v>
      </c>
      <c r="N16">
        <f>L16*M16</f>
        <v>11.9588</v>
      </c>
      <c r="O16">
        <f>M16-N16</f>
        <v>30.751200000000001</v>
      </c>
      <c r="P16">
        <f>O16*1.25</f>
        <v>38.439</v>
      </c>
    </row>
    <row r="17" spans="1:16" s="130" customFormat="1" x14ac:dyDescent="0.2">
      <c r="A17" s="147" t="s">
        <v>44</v>
      </c>
      <c r="B17" s="147">
        <v>30119</v>
      </c>
      <c r="C17" s="147" t="s">
        <v>239</v>
      </c>
      <c r="D17" s="155" t="s">
        <v>251</v>
      </c>
      <c r="E17" s="156" t="s">
        <v>38</v>
      </c>
      <c r="F17" s="150">
        <f>0.8*0.8*12+(5.6+5.6+7+7+2+2+1.4+2.65)*0.35</f>
        <v>19.32</v>
      </c>
      <c r="G17" s="151">
        <f>P17</f>
        <v>18.670000000000002</v>
      </c>
      <c r="H17" s="180">
        <f t="shared" si="1"/>
        <v>360.7</v>
      </c>
      <c r="I17" s="134">
        <f>H17*10</f>
        <v>3607</v>
      </c>
      <c r="K17" s="15">
        <v>4.76</v>
      </c>
      <c r="L17" s="196">
        <v>0.28000000000000003</v>
      </c>
      <c r="M17">
        <v>20.74</v>
      </c>
      <c r="N17">
        <f t="shared" si="2"/>
        <v>5.8071999999999999</v>
      </c>
      <c r="O17">
        <f t="shared" si="3"/>
        <v>14.9328</v>
      </c>
      <c r="P17">
        <f t="shared" si="4"/>
        <v>18.666</v>
      </c>
    </row>
    <row r="18" spans="1:16" s="126" customFormat="1" ht="25.5" x14ac:dyDescent="0.2">
      <c r="A18" s="147" t="s">
        <v>45</v>
      </c>
      <c r="B18" s="147">
        <v>30206</v>
      </c>
      <c r="C18" s="147" t="s">
        <v>239</v>
      </c>
      <c r="D18" s="155" t="s">
        <v>213</v>
      </c>
      <c r="E18" s="156" t="s">
        <v>41</v>
      </c>
      <c r="F18" s="150">
        <f>(5.6+8.25+1.12+9.52+8.5+2.28)*0.2+1.2*1*0.1</f>
        <v>7.17</v>
      </c>
      <c r="G18" s="151">
        <f>P18</f>
        <v>88.97</v>
      </c>
      <c r="H18" s="180">
        <f t="shared" si="1"/>
        <v>637.91</v>
      </c>
      <c r="I18" s="134">
        <f>H18*10</f>
        <v>6379.1</v>
      </c>
      <c r="K18" s="15">
        <v>29.05</v>
      </c>
      <c r="L18" s="196">
        <v>0.28000000000000003</v>
      </c>
      <c r="M18">
        <v>98.86</v>
      </c>
      <c r="N18">
        <f t="shared" si="2"/>
        <v>27.680800000000001</v>
      </c>
      <c r="O18">
        <f t="shared" si="3"/>
        <v>71.179199999999994</v>
      </c>
      <c r="P18">
        <f t="shared" si="4"/>
        <v>88.974000000000004</v>
      </c>
    </row>
    <row r="19" spans="1:16" s="130" customFormat="1" ht="38.25" x14ac:dyDescent="0.2">
      <c r="A19" s="147" t="s">
        <v>47</v>
      </c>
      <c r="B19" s="147">
        <v>50501</v>
      </c>
      <c r="C19" s="147" t="s">
        <v>239</v>
      </c>
      <c r="D19" s="155" t="s">
        <v>215</v>
      </c>
      <c r="E19" s="156" t="s">
        <v>38</v>
      </c>
      <c r="F19" s="150">
        <f>(5.6+5.6+7+7+2+2+1.4+2.65)*0.2</f>
        <v>6.65</v>
      </c>
      <c r="G19" s="151">
        <f t="shared" si="0"/>
        <v>76.73</v>
      </c>
      <c r="H19" s="180">
        <f t="shared" si="1"/>
        <v>510.25</v>
      </c>
      <c r="I19" s="134">
        <f>H19*10</f>
        <v>5102.5</v>
      </c>
      <c r="K19" s="80">
        <v>18.829999999999998</v>
      </c>
      <c r="L19" s="196">
        <v>0.28000000000000003</v>
      </c>
      <c r="M19">
        <v>85.25</v>
      </c>
      <c r="N19">
        <f t="shared" si="2"/>
        <v>23.87</v>
      </c>
      <c r="O19">
        <f t="shared" si="3"/>
        <v>61.38</v>
      </c>
      <c r="P19">
        <f t="shared" si="4"/>
        <v>76.724999999999994</v>
      </c>
    </row>
    <row r="20" spans="1:16" s="129" customFormat="1" ht="25.5" x14ac:dyDescent="0.2">
      <c r="A20" s="147" t="s">
        <v>49</v>
      </c>
      <c r="B20" s="147">
        <v>40231</v>
      </c>
      <c r="C20" s="147" t="s">
        <v>239</v>
      </c>
      <c r="D20" s="155" t="s">
        <v>338</v>
      </c>
      <c r="E20" s="156" t="s">
        <v>41</v>
      </c>
      <c r="F20" s="150">
        <f>0.6*0.6*0.05*12+(5.6+5.6+7+7+2+2+1.4+2.65)*0.05*0.15</f>
        <v>0.47</v>
      </c>
      <c r="G20" s="151">
        <f t="shared" si="0"/>
        <v>404.12</v>
      </c>
      <c r="H20" s="180">
        <f t="shared" si="1"/>
        <v>189.94</v>
      </c>
      <c r="I20" s="134">
        <f>H20*10</f>
        <v>1899.4</v>
      </c>
      <c r="K20" s="15">
        <v>177.98</v>
      </c>
      <c r="L20" s="196">
        <v>0.28000000000000003</v>
      </c>
      <c r="M20">
        <v>449.02</v>
      </c>
      <c r="N20">
        <f t="shared" si="2"/>
        <v>125.7256</v>
      </c>
      <c r="O20">
        <f t="shared" si="3"/>
        <v>323.2944</v>
      </c>
      <c r="P20">
        <f t="shared" si="4"/>
        <v>404.11799999999999</v>
      </c>
    </row>
    <row r="21" spans="1:16" s="126" customFormat="1" ht="25.5" x14ac:dyDescent="0.2">
      <c r="A21" s="147" t="s">
        <v>227</v>
      </c>
      <c r="B21" s="147">
        <v>40235</v>
      </c>
      <c r="C21" s="147" t="s">
        <v>239</v>
      </c>
      <c r="D21" s="155" t="s">
        <v>334</v>
      </c>
      <c r="E21" s="156" t="s">
        <v>41</v>
      </c>
      <c r="F21" s="150">
        <f>0.6*0.6*0.4*12+(5.6+5.6+7+7+2+2+1.4+2.65)*0.15*0.3+1.45*0.1*0.3*12+2.6*0.1*0.3*12+(5.6+5.6+7+7+2+2+1.4+2.65)*0.1*0.1</f>
        <v>5.01</v>
      </c>
      <c r="G21" s="151">
        <f t="shared" si="0"/>
        <v>440.6</v>
      </c>
      <c r="H21" s="180">
        <f t="shared" si="1"/>
        <v>2207.41</v>
      </c>
      <c r="I21" s="134">
        <f>H21*10</f>
        <v>22074.1</v>
      </c>
      <c r="K21" s="80">
        <v>188.68</v>
      </c>
      <c r="L21" s="196">
        <v>0.28000000000000003</v>
      </c>
      <c r="M21">
        <v>489.56</v>
      </c>
      <c r="N21">
        <f t="shared" si="2"/>
        <v>137.07679999999999</v>
      </c>
      <c r="O21">
        <f t="shared" si="3"/>
        <v>352.48320000000001</v>
      </c>
      <c r="P21">
        <f t="shared" si="4"/>
        <v>440.60399999999998</v>
      </c>
    </row>
    <row r="22" spans="1:16" s="126" customFormat="1" ht="38.25" x14ac:dyDescent="0.2">
      <c r="A22" s="147" t="s">
        <v>253</v>
      </c>
      <c r="B22" s="147">
        <v>40250</v>
      </c>
      <c r="C22" s="147" t="s">
        <v>239</v>
      </c>
      <c r="D22" s="155" t="s">
        <v>331</v>
      </c>
      <c r="E22" s="156" t="s">
        <v>114</v>
      </c>
      <c r="F22" s="150">
        <f>0.6*0.4*4*12+1.45*0.1*2*12+0.3*1.45*2*12+2.6*0.1*2*12+0.3*2.6*2*12+(5.6+5.6+7+72+2+1.4+2.65)*0.3*2+(5.6+5.6+7+7+2+2+1.4+2.65)*0.1*2</f>
        <v>114.8</v>
      </c>
      <c r="G22" s="151">
        <f>P22</f>
        <v>78.260000000000005</v>
      </c>
      <c r="H22" s="180">
        <f>F22*G22</f>
        <v>8984.25</v>
      </c>
      <c r="I22" s="134"/>
      <c r="K22" s="80"/>
      <c r="L22" s="196">
        <v>0.28000000000000003</v>
      </c>
      <c r="M22">
        <v>86.95</v>
      </c>
      <c r="N22">
        <f>L22*M22</f>
        <v>24.346</v>
      </c>
      <c r="O22">
        <f>M22-N22</f>
        <v>62.603999999999999</v>
      </c>
      <c r="P22">
        <f>O22*1.25</f>
        <v>78.254999999999995</v>
      </c>
    </row>
    <row r="23" spans="1:16" s="126" customFormat="1" ht="25.5" x14ac:dyDescent="0.2">
      <c r="A23" s="147" t="s">
        <v>254</v>
      </c>
      <c r="B23" s="147">
        <v>40333</v>
      </c>
      <c r="C23" s="147" t="s">
        <v>239</v>
      </c>
      <c r="D23" s="155" t="s">
        <v>255</v>
      </c>
      <c r="E23" s="156" t="s">
        <v>205</v>
      </c>
      <c r="F23" s="150">
        <f>18*0.64*0.148*12+(55*2+26*2+69*2+20*2+13+69)*0.148*0.64+26*0.148*0.64*12</f>
        <v>89.98</v>
      </c>
      <c r="G23" s="151">
        <f>P23</f>
        <v>6.16</v>
      </c>
      <c r="H23" s="180">
        <f>F23*G23</f>
        <v>554.28</v>
      </c>
      <c r="I23" s="134"/>
      <c r="K23" s="80"/>
      <c r="L23" s="196">
        <v>0.28000000000000003</v>
      </c>
      <c r="M23">
        <v>6.84</v>
      </c>
      <c r="N23">
        <f>L23*M23</f>
        <v>1.9152</v>
      </c>
      <c r="O23">
        <f>M23-N23</f>
        <v>4.9248000000000003</v>
      </c>
      <c r="P23">
        <f>O23*1.25</f>
        <v>6.1559999999999997</v>
      </c>
    </row>
    <row r="24" spans="1:16" s="126" customFormat="1" ht="25.5" x14ac:dyDescent="0.2">
      <c r="A24" s="147" t="s">
        <v>332</v>
      </c>
      <c r="B24" s="147">
        <v>40243</v>
      </c>
      <c r="C24" s="147" t="s">
        <v>239</v>
      </c>
      <c r="D24" s="155" t="s">
        <v>209</v>
      </c>
      <c r="E24" s="156" t="s">
        <v>205</v>
      </c>
      <c r="F24" s="150">
        <f>1.22*6*0.393*2*12+4*2.25*0.395*12+(6.22*4*0.393)*2+3.29*4*0.393+(7.62*4*0.393)*2+(7.62*4*0.393)*2+2*0.393*6.94+2.72*4*0.393*2+2.04*0.393*2+2.02*4*0.393+2*1.34*0.393+4*2.6*0.393*12+0.393*2*33.25</f>
        <v>279.36</v>
      </c>
      <c r="G24" s="151">
        <f t="shared" si="0"/>
        <v>6.74</v>
      </c>
      <c r="H24" s="180">
        <f t="shared" si="1"/>
        <v>1882.89</v>
      </c>
      <c r="I24" s="134">
        <f>H24*10</f>
        <v>18828.900000000001</v>
      </c>
      <c r="J24" s="140"/>
      <c r="K24" s="80">
        <v>2.86</v>
      </c>
      <c r="L24" s="196">
        <v>0.28000000000000003</v>
      </c>
      <c r="M24">
        <v>7.49</v>
      </c>
      <c r="N24">
        <f t="shared" si="2"/>
        <v>2.0972</v>
      </c>
      <c r="O24">
        <f t="shared" si="3"/>
        <v>5.3928000000000003</v>
      </c>
      <c r="P24">
        <f t="shared" si="4"/>
        <v>6.7409999999999997</v>
      </c>
    </row>
    <row r="25" spans="1:16" s="126" customFormat="1" x14ac:dyDescent="0.2">
      <c r="A25" s="166" t="s">
        <v>51</v>
      </c>
      <c r="B25" s="166"/>
      <c r="C25" s="166"/>
      <c r="D25" s="167" t="s">
        <v>52</v>
      </c>
      <c r="E25" s="172"/>
      <c r="F25" s="173"/>
      <c r="G25" s="173" t="s">
        <v>233</v>
      </c>
      <c r="H25" s="181">
        <f>H26+H27+H28+H29+H30+H31+H32+H33+H34+H35</f>
        <v>13066.01</v>
      </c>
      <c r="I25" s="134"/>
      <c r="K25" s="80"/>
    </row>
    <row r="26" spans="1:16" s="126" customFormat="1" ht="51" x14ac:dyDescent="0.2">
      <c r="A26" s="147" t="s">
        <v>53</v>
      </c>
      <c r="B26" s="147">
        <v>50606</v>
      </c>
      <c r="C26" s="147" t="s">
        <v>239</v>
      </c>
      <c r="D26" s="155" t="s">
        <v>240</v>
      </c>
      <c r="E26" s="156" t="s">
        <v>38</v>
      </c>
      <c r="F26" s="150">
        <f>(2.6*7*2+5.6*2.6*2+6.8*2.6+2*2*2.6+1.2*2.6+2.5*2.6-(1.2*1*4+0.8*2.1*4+0.7*2.1+0.6*0.4)+0.97*2.95/2*2+0.97*2.65/2*2)*1.1</f>
        <v>104.96</v>
      </c>
      <c r="G26" s="151">
        <f>P26</f>
        <v>40</v>
      </c>
      <c r="H26" s="180">
        <f t="shared" ref="H26:H35" si="5">F26*G26</f>
        <v>4198.3999999999996</v>
      </c>
      <c r="I26" s="134">
        <f t="shared" ref="I26:I34" si="6">H26*10</f>
        <v>41984</v>
      </c>
      <c r="K26" s="80">
        <v>15.03</v>
      </c>
      <c r="L26" s="196">
        <v>0.28000000000000003</v>
      </c>
      <c r="M26">
        <v>44.44</v>
      </c>
      <c r="N26">
        <f t="shared" ref="N26:N34" si="7">L26*M26</f>
        <v>12.443199999999999</v>
      </c>
      <c r="O26">
        <f t="shared" ref="O26:O34" si="8">M26-N26</f>
        <v>31.9968</v>
      </c>
      <c r="P26">
        <f t="shared" ref="P26:P34" si="9">O26*1.25</f>
        <v>39.996000000000002</v>
      </c>
    </row>
    <row r="27" spans="1:16" s="126" customFormat="1" ht="25.5" x14ac:dyDescent="0.2">
      <c r="A27" s="147" t="s">
        <v>54</v>
      </c>
      <c r="B27" s="147">
        <v>40333</v>
      </c>
      <c r="C27" s="147" t="s">
        <v>239</v>
      </c>
      <c r="D27" s="155" t="s">
        <v>256</v>
      </c>
      <c r="E27" s="156" t="s">
        <v>41</v>
      </c>
      <c r="F27" s="150">
        <f>1*4+0.9+1.4*4+0.8</f>
        <v>11.3</v>
      </c>
      <c r="G27" s="151">
        <f>P27</f>
        <v>6.16</v>
      </c>
      <c r="H27" s="180">
        <f t="shared" si="5"/>
        <v>69.61</v>
      </c>
      <c r="I27" s="134">
        <f t="shared" si="6"/>
        <v>696.1</v>
      </c>
      <c r="K27" s="80">
        <v>188.68</v>
      </c>
      <c r="L27" s="196">
        <v>0.28000000000000003</v>
      </c>
      <c r="M27">
        <v>6.84</v>
      </c>
      <c r="N27">
        <f t="shared" si="7"/>
        <v>1.9152</v>
      </c>
      <c r="O27">
        <f t="shared" si="8"/>
        <v>4.9248000000000003</v>
      </c>
      <c r="P27">
        <f t="shared" si="9"/>
        <v>6.1559999999999997</v>
      </c>
    </row>
    <row r="28" spans="1:16" s="126" customFormat="1" ht="25.5" x14ac:dyDescent="0.2">
      <c r="A28" s="147" t="s">
        <v>55</v>
      </c>
      <c r="B28" s="147">
        <v>110101</v>
      </c>
      <c r="C28" s="147" t="s">
        <v>239</v>
      </c>
      <c r="D28" s="155" t="s">
        <v>346</v>
      </c>
      <c r="E28" s="156" t="s">
        <v>114</v>
      </c>
      <c r="F28" s="150">
        <v>2.2799999999999998</v>
      </c>
      <c r="G28" s="151">
        <f>P28</f>
        <v>8.86</v>
      </c>
      <c r="H28" s="180">
        <f t="shared" si="5"/>
        <v>20.2</v>
      </c>
      <c r="I28" s="134"/>
      <c r="K28" s="80"/>
      <c r="L28" s="196">
        <v>0.28000000000000003</v>
      </c>
      <c r="M28">
        <v>9.84</v>
      </c>
      <c r="N28">
        <f>L28*M28</f>
        <v>2.7551999999999999</v>
      </c>
      <c r="O28">
        <f>M28-N28</f>
        <v>7.0848000000000004</v>
      </c>
      <c r="P28">
        <f>O28*1.25</f>
        <v>8.8559999999999999</v>
      </c>
    </row>
    <row r="29" spans="1:16" s="126" customFormat="1" ht="25.5" x14ac:dyDescent="0.2">
      <c r="A29" s="147" t="s">
        <v>56</v>
      </c>
      <c r="B29" s="147">
        <v>120101</v>
      </c>
      <c r="C29" s="147" t="s">
        <v>239</v>
      </c>
      <c r="D29" s="155" t="s">
        <v>345</v>
      </c>
      <c r="E29" s="156" t="s">
        <v>114</v>
      </c>
      <c r="F29" s="150">
        <f>F31+F32+F33</f>
        <v>202.63</v>
      </c>
      <c r="G29" s="151">
        <f>P29</f>
        <v>4.57</v>
      </c>
      <c r="H29" s="180">
        <f t="shared" si="5"/>
        <v>926.02</v>
      </c>
      <c r="I29" s="134"/>
      <c r="K29" s="80"/>
      <c r="L29" s="196">
        <v>0.28000000000000003</v>
      </c>
      <c r="M29">
        <v>5.08</v>
      </c>
      <c r="N29">
        <f>L29*M29</f>
        <v>1.4224000000000001</v>
      </c>
      <c r="O29">
        <f>M29-N29</f>
        <v>3.6576</v>
      </c>
      <c r="P29">
        <f>O29*1.25</f>
        <v>4.5720000000000001</v>
      </c>
    </row>
    <row r="30" spans="1:16" s="126" customFormat="1" ht="38.25" x14ac:dyDescent="0.2">
      <c r="A30" s="147" t="s">
        <v>57</v>
      </c>
      <c r="B30" s="147">
        <v>90407</v>
      </c>
      <c r="C30" s="147" t="s">
        <v>244</v>
      </c>
      <c r="D30" s="155" t="s">
        <v>344</v>
      </c>
      <c r="E30" s="156" t="s">
        <v>114</v>
      </c>
      <c r="F30" s="150">
        <f>1.2*1.9</f>
        <v>2.2799999999999998</v>
      </c>
      <c r="G30" s="151">
        <f>28.62*1.25</f>
        <v>35.78</v>
      </c>
      <c r="H30" s="180">
        <f t="shared" si="5"/>
        <v>81.58</v>
      </c>
      <c r="I30" s="134"/>
      <c r="K30" s="80"/>
      <c r="L30" s="196"/>
      <c r="M30"/>
      <c r="N30"/>
      <c r="O30"/>
      <c r="P30"/>
    </row>
    <row r="31" spans="1:16" s="126" customFormat="1" ht="50.25" customHeight="1" x14ac:dyDescent="0.2">
      <c r="A31" s="147" t="s">
        <v>201</v>
      </c>
      <c r="B31" s="147">
        <v>87775</v>
      </c>
      <c r="C31" s="147" t="s">
        <v>244</v>
      </c>
      <c r="D31" s="155" t="s">
        <v>343</v>
      </c>
      <c r="E31" s="156" t="s">
        <v>114</v>
      </c>
      <c r="F31" s="150">
        <f>(2.78*5.6*2+2.95*0.89/2*2+2.65*0.89/2*2+2.78*7*2-(1.6*1*4+0.8*2.1*2+0.6*0.4))*1.05</f>
        <v>68.290000000000006</v>
      </c>
      <c r="G31" s="151">
        <f>30.9*1.25</f>
        <v>38.630000000000003</v>
      </c>
      <c r="H31" s="180">
        <f t="shared" si="5"/>
        <v>2638.04</v>
      </c>
      <c r="I31" s="134"/>
      <c r="K31" s="80"/>
      <c r="L31" s="196"/>
      <c r="M31"/>
      <c r="N31"/>
      <c r="O31"/>
      <c r="P31"/>
    </row>
    <row r="32" spans="1:16" s="126" customFormat="1" ht="56.25" customHeight="1" x14ac:dyDescent="0.2">
      <c r="A32" s="147" t="s">
        <v>202</v>
      </c>
      <c r="B32" s="147">
        <v>87533</v>
      </c>
      <c r="C32" s="147" t="s">
        <v>244</v>
      </c>
      <c r="D32" s="155" t="s">
        <v>341</v>
      </c>
      <c r="E32" s="156" t="s">
        <v>38</v>
      </c>
      <c r="F32" s="150">
        <f>((2.5*4+3.3*2+3.4*2+3.4+2.8+2+1.4+4.8)*2.8-(0.8*2.1*3+1.6*1*3+0.7*2.1)+(2.8+2*3)*1.1-(0.6*0.8+1*1.6))*1.05</f>
        <v>107.24</v>
      </c>
      <c r="G32" s="151">
        <f>19.33*1.25</f>
        <v>24.16</v>
      </c>
      <c r="H32" s="180">
        <f t="shared" si="5"/>
        <v>2590.92</v>
      </c>
      <c r="I32" s="134">
        <f t="shared" si="6"/>
        <v>25909.200000000001</v>
      </c>
      <c r="K32" s="80">
        <v>10.19</v>
      </c>
      <c r="L32" s="196">
        <v>0.28000000000000003</v>
      </c>
      <c r="M32">
        <v>16.12</v>
      </c>
      <c r="N32">
        <f t="shared" si="7"/>
        <v>4.5136000000000003</v>
      </c>
      <c r="O32">
        <f t="shared" si="8"/>
        <v>11.606400000000001</v>
      </c>
      <c r="P32">
        <f t="shared" si="9"/>
        <v>14.507999999999999</v>
      </c>
    </row>
    <row r="33" spans="1:16" s="126" customFormat="1" ht="57" customHeight="1" x14ac:dyDescent="0.2">
      <c r="A33" s="147" t="s">
        <v>347</v>
      </c>
      <c r="B33" s="147">
        <v>87532</v>
      </c>
      <c r="C33" s="147" t="s">
        <v>244</v>
      </c>
      <c r="D33" s="155" t="s">
        <v>342</v>
      </c>
      <c r="E33" s="156" t="s">
        <v>38</v>
      </c>
      <c r="F33" s="150">
        <f>F35</f>
        <v>27.1</v>
      </c>
      <c r="G33" s="151">
        <f>21.95*1.25</f>
        <v>27.44</v>
      </c>
      <c r="H33" s="180">
        <f t="shared" si="5"/>
        <v>743.62</v>
      </c>
      <c r="I33" s="134">
        <f t="shared" si="6"/>
        <v>7436.2</v>
      </c>
      <c r="K33" s="80">
        <v>10.19</v>
      </c>
      <c r="L33" s="196">
        <v>0.28000000000000003</v>
      </c>
      <c r="M33">
        <v>22.85</v>
      </c>
      <c r="N33">
        <f t="shared" si="7"/>
        <v>6.3979999999999997</v>
      </c>
      <c r="O33">
        <f t="shared" si="8"/>
        <v>16.452000000000002</v>
      </c>
      <c r="P33">
        <f t="shared" si="9"/>
        <v>20.565000000000001</v>
      </c>
    </row>
    <row r="34" spans="1:16" s="130" customFormat="1" ht="42" customHeight="1" x14ac:dyDescent="0.2">
      <c r="A34" s="147" t="s">
        <v>348</v>
      </c>
      <c r="B34" s="147">
        <v>40602</v>
      </c>
      <c r="C34" s="147" t="s">
        <v>239</v>
      </c>
      <c r="D34" s="155" t="s">
        <v>241</v>
      </c>
      <c r="E34" s="156" t="s">
        <v>114</v>
      </c>
      <c r="F34" s="150">
        <f>2.1*1.4</f>
        <v>2.94</v>
      </c>
      <c r="G34" s="151">
        <f>P34</f>
        <v>92.57</v>
      </c>
      <c r="H34" s="180">
        <f t="shared" si="5"/>
        <v>272.16000000000003</v>
      </c>
      <c r="I34" s="134">
        <f t="shared" si="6"/>
        <v>2721.6</v>
      </c>
      <c r="K34" s="80"/>
      <c r="L34" s="196">
        <v>0.28000000000000003</v>
      </c>
      <c r="M34">
        <v>102.85</v>
      </c>
      <c r="N34">
        <f t="shared" si="7"/>
        <v>28.797999999999998</v>
      </c>
      <c r="O34">
        <f t="shared" si="8"/>
        <v>74.052000000000007</v>
      </c>
      <c r="P34">
        <f t="shared" si="9"/>
        <v>92.564999999999998</v>
      </c>
    </row>
    <row r="35" spans="1:16" s="141" customFormat="1" ht="52.5" customHeight="1" x14ac:dyDescent="0.2">
      <c r="A35" s="147" t="s">
        <v>349</v>
      </c>
      <c r="B35" s="147">
        <v>87266</v>
      </c>
      <c r="C35" s="147" t="s">
        <v>244</v>
      </c>
      <c r="D35" s="157" t="s">
        <v>351</v>
      </c>
      <c r="E35" s="156" t="s">
        <v>114</v>
      </c>
      <c r="F35" s="150">
        <f>((2.8+2+2+2)*1.5-(0.8*1.5+0.4*1.5))*1.05+((1.9+1.9+1.2+1.2)*2.6-(0.4*0.6+0.7*2.1))*1.05</f>
        <v>27.1</v>
      </c>
      <c r="G35" s="151">
        <f>45.03*1.25</f>
        <v>56.29</v>
      </c>
      <c r="H35" s="180">
        <f t="shared" si="5"/>
        <v>1525.46</v>
      </c>
      <c r="I35" s="134"/>
      <c r="L35" s="196"/>
      <c r="M35"/>
      <c r="N35"/>
      <c r="O35"/>
      <c r="P35"/>
    </row>
    <row r="36" spans="1:16" s="126" customFormat="1" x14ac:dyDescent="0.2">
      <c r="A36" s="166" t="s">
        <v>60</v>
      </c>
      <c r="B36" s="166"/>
      <c r="C36" s="166"/>
      <c r="D36" s="167" t="s">
        <v>61</v>
      </c>
      <c r="E36" s="172"/>
      <c r="F36" s="173"/>
      <c r="G36" s="546" t="s">
        <v>233</v>
      </c>
      <c r="H36" s="548">
        <f>H38+H39+H40+H41+H42+H44+H47+H48</f>
        <v>4292.67</v>
      </c>
      <c r="I36" s="134"/>
    </row>
    <row r="37" spans="1:16" s="126" customFormat="1" x14ac:dyDescent="0.2">
      <c r="A37" s="166" t="s">
        <v>62</v>
      </c>
      <c r="B37" s="166"/>
      <c r="C37" s="166"/>
      <c r="D37" s="167" t="s">
        <v>214</v>
      </c>
      <c r="E37" s="172"/>
      <c r="F37" s="173"/>
      <c r="G37" s="547"/>
      <c r="H37" s="549"/>
      <c r="I37" s="134"/>
    </row>
    <row r="38" spans="1:16" s="126" customFormat="1" ht="38.25" x14ac:dyDescent="0.2">
      <c r="A38" s="147" t="s">
        <v>62</v>
      </c>
      <c r="B38" s="147">
        <v>71701</v>
      </c>
      <c r="C38" s="147" t="s">
        <v>239</v>
      </c>
      <c r="D38" s="155" t="s">
        <v>242</v>
      </c>
      <c r="E38" s="156" t="s">
        <v>114</v>
      </c>
      <c r="F38" s="150">
        <f>1.2*1*4</f>
        <v>4.8</v>
      </c>
      <c r="G38" s="151">
        <f>P38</f>
        <v>334.07</v>
      </c>
      <c r="H38" s="180">
        <f>F38*G38</f>
        <v>1603.54</v>
      </c>
      <c r="I38" s="134">
        <f>H38*10</f>
        <v>16035.4</v>
      </c>
      <c r="K38" s="127"/>
      <c r="L38" s="196">
        <v>0.28000000000000003</v>
      </c>
      <c r="M38">
        <v>371.19</v>
      </c>
      <c r="N38">
        <f>L38*M38</f>
        <v>103.9332</v>
      </c>
      <c r="O38">
        <f>M38-N38</f>
        <v>267.2568</v>
      </c>
      <c r="P38">
        <f>O38*1.25</f>
        <v>334.07100000000003</v>
      </c>
    </row>
    <row r="39" spans="1:16" s="126" customFormat="1" ht="28.5" customHeight="1" x14ac:dyDescent="0.2">
      <c r="A39" s="147" t="s">
        <v>63</v>
      </c>
      <c r="B39" s="147">
        <v>71702</v>
      </c>
      <c r="C39" s="147" t="s">
        <v>239</v>
      </c>
      <c r="D39" s="155" t="s">
        <v>243</v>
      </c>
      <c r="E39" s="156" t="s">
        <v>114</v>
      </c>
      <c r="F39" s="150">
        <f>0.6*0.4</f>
        <v>0.24</v>
      </c>
      <c r="G39" s="151">
        <f>P39</f>
        <v>347.58</v>
      </c>
      <c r="H39" s="180">
        <f>F39*G39</f>
        <v>83.42</v>
      </c>
      <c r="I39" s="134">
        <f>H39*10</f>
        <v>834.2</v>
      </c>
      <c r="K39" s="80"/>
      <c r="L39" s="196">
        <v>0.28000000000000003</v>
      </c>
      <c r="M39">
        <v>386.2</v>
      </c>
      <c r="N39">
        <f>L39*M39</f>
        <v>108.136</v>
      </c>
      <c r="O39">
        <f>M39-N39</f>
        <v>278.06400000000002</v>
      </c>
      <c r="P39">
        <f>O39*1.25</f>
        <v>347.58</v>
      </c>
    </row>
    <row r="40" spans="1:16" s="126" customFormat="1" ht="24" customHeight="1" x14ac:dyDescent="0.2">
      <c r="A40" s="147"/>
      <c r="B40" s="156">
        <v>130317</v>
      </c>
      <c r="C40" s="147" t="s">
        <v>239</v>
      </c>
      <c r="D40" s="157" t="s">
        <v>352</v>
      </c>
      <c r="E40" s="156" t="s">
        <v>27</v>
      </c>
      <c r="F40" s="150">
        <f>0.6+1.2*4</f>
        <v>5.4</v>
      </c>
      <c r="G40" s="151">
        <f>P40</f>
        <v>61.18</v>
      </c>
      <c r="H40" s="180">
        <f>F40*G40</f>
        <v>330.37</v>
      </c>
      <c r="I40" s="134"/>
      <c r="K40" s="80"/>
      <c r="L40" s="196">
        <v>0.28000000000000003</v>
      </c>
      <c r="M40">
        <v>67.98</v>
      </c>
      <c r="N40">
        <f>L40*M40</f>
        <v>19.034400000000002</v>
      </c>
      <c r="O40">
        <f>M40-N40</f>
        <v>48.945599999999999</v>
      </c>
      <c r="P40">
        <f>O40*1.25</f>
        <v>61.182000000000002</v>
      </c>
    </row>
    <row r="41" spans="1:16" s="130" customFormat="1" ht="25.5" x14ac:dyDescent="0.2">
      <c r="A41" s="147" t="s">
        <v>65</v>
      </c>
      <c r="B41" s="147" t="s">
        <v>246</v>
      </c>
      <c r="C41" s="147" t="s">
        <v>244</v>
      </c>
      <c r="D41" s="155" t="s">
        <v>228</v>
      </c>
      <c r="E41" s="156" t="s">
        <v>67</v>
      </c>
      <c r="F41" s="150">
        <v>1</v>
      </c>
      <c r="G41" s="151">
        <v>302.75</v>
      </c>
      <c r="H41" s="180">
        <f>F41*G41</f>
        <v>302.75</v>
      </c>
      <c r="I41" s="134">
        <f>H41*10</f>
        <v>3027.5</v>
      </c>
      <c r="K41" s="80">
        <v>134.44999999999999</v>
      </c>
      <c r="L41" s="196">
        <v>0.28000000000000003</v>
      </c>
      <c r="M41">
        <v>102.85</v>
      </c>
      <c r="N41">
        <f>L41*M41</f>
        <v>28.797999999999998</v>
      </c>
      <c r="O41">
        <f>M41-N41</f>
        <v>74.052000000000007</v>
      </c>
      <c r="P41">
        <f>O41*1.25</f>
        <v>92.564999999999998</v>
      </c>
    </row>
    <row r="42" spans="1:16" s="130" customFormat="1" ht="25.5" x14ac:dyDescent="0.2">
      <c r="A42" s="147" t="s">
        <v>66</v>
      </c>
      <c r="B42" s="147" t="s">
        <v>245</v>
      </c>
      <c r="C42" s="147" t="s">
        <v>244</v>
      </c>
      <c r="D42" s="155" t="s">
        <v>229</v>
      </c>
      <c r="E42" s="156" t="s">
        <v>67</v>
      </c>
      <c r="F42" s="150">
        <v>4</v>
      </c>
      <c r="G42" s="151">
        <v>307.81</v>
      </c>
      <c r="H42" s="180">
        <f>F42*G42</f>
        <v>1231.24</v>
      </c>
      <c r="I42" s="134">
        <f>H42*10</f>
        <v>12312.4</v>
      </c>
      <c r="K42" s="80">
        <v>200.14</v>
      </c>
      <c r="L42" s="196">
        <v>0.28000000000000003</v>
      </c>
      <c r="M42">
        <v>102.85</v>
      </c>
      <c r="N42">
        <f>L42*M42</f>
        <v>28.797999999999998</v>
      </c>
      <c r="O42">
        <f>M42-N42</f>
        <v>74.052000000000007</v>
      </c>
      <c r="P42">
        <f>O42*1.25</f>
        <v>92.564999999999998</v>
      </c>
    </row>
    <row r="43" spans="1:16" s="130" customFormat="1" x14ac:dyDescent="0.2">
      <c r="A43" s="147" t="s">
        <v>295</v>
      </c>
      <c r="B43" s="166"/>
      <c r="C43" s="166"/>
      <c r="D43" s="167" t="s">
        <v>230</v>
      </c>
      <c r="E43" s="175"/>
      <c r="F43" s="176"/>
      <c r="G43" s="174"/>
      <c r="H43" s="181"/>
      <c r="I43" s="134"/>
      <c r="K43" s="125"/>
    </row>
    <row r="44" spans="1:16" s="130" customFormat="1" ht="25.5" x14ac:dyDescent="0.2">
      <c r="A44" s="147" t="s">
        <v>296</v>
      </c>
      <c r="B44" s="147">
        <v>80102</v>
      </c>
      <c r="C44" s="147" t="s">
        <v>239</v>
      </c>
      <c r="D44" s="155" t="s">
        <v>231</v>
      </c>
      <c r="E44" s="156" t="s">
        <v>114</v>
      </c>
      <c r="F44" s="150">
        <f>F38+F39</f>
        <v>5.04</v>
      </c>
      <c r="G44" s="151">
        <f>P44</f>
        <v>70.73</v>
      </c>
      <c r="H44" s="180">
        <f>F44*G44</f>
        <v>356.48</v>
      </c>
      <c r="I44" s="134">
        <f>H44*10</f>
        <v>3564.8</v>
      </c>
      <c r="K44" s="125"/>
      <c r="L44" s="196">
        <v>0.28000000000000003</v>
      </c>
      <c r="M44">
        <v>78.59</v>
      </c>
      <c r="N44">
        <f>L44*M44</f>
        <v>22.005199999999999</v>
      </c>
      <c r="O44">
        <f>M44-N44</f>
        <v>56.584800000000001</v>
      </c>
      <c r="P44">
        <f>O44*1.25</f>
        <v>70.730999999999995</v>
      </c>
    </row>
    <row r="45" spans="1:16" s="130" customFormat="1" x14ac:dyDescent="0.2">
      <c r="A45" s="147" t="s">
        <v>297</v>
      </c>
      <c r="B45" s="147"/>
      <c r="C45" s="147"/>
      <c r="D45" s="155"/>
      <c r="E45" s="156"/>
      <c r="F45" s="150"/>
      <c r="G45" s="151"/>
      <c r="H45" s="151"/>
      <c r="I45" s="134"/>
      <c r="K45" s="125"/>
    </row>
    <row r="46" spans="1:16" s="130" customFormat="1" x14ac:dyDescent="0.2">
      <c r="A46" s="147" t="s">
        <v>298</v>
      </c>
      <c r="B46" s="166"/>
      <c r="C46" s="166"/>
      <c r="D46" s="167" t="s">
        <v>232</v>
      </c>
      <c r="E46" s="175"/>
      <c r="F46" s="176"/>
      <c r="G46" s="174"/>
      <c r="H46" s="181"/>
      <c r="I46" s="134"/>
      <c r="K46" s="125"/>
    </row>
    <row r="47" spans="1:16" s="130" customFormat="1" ht="25.5" x14ac:dyDescent="0.2">
      <c r="A47" s="147" t="s">
        <v>299</v>
      </c>
      <c r="B47" s="147">
        <v>61102</v>
      </c>
      <c r="C47" s="147" t="s">
        <v>239</v>
      </c>
      <c r="D47" s="155" t="s">
        <v>336</v>
      </c>
      <c r="E47" s="156" t="s">
        <v>222</v>
      </c>
      <c r="F47" s="150">
        <v>4</v>
      </c>
      <c r="G47" s="151">
        <f>P47</f>
        <v>77.760000000000005</v>
      </c>
      <c r="H47" s="180">
        <f>F47*G47</f>
        <v>311.04000000000002</v>
      </c>
      <c r="I47" s="134">
        <f>H47*10</f>
        <v>3110.4</v>
      </c>
      <c r="K47" s="125"/>
      <c r="L47" s="196">
        <v>0.28000000000000003</v>
      </c>
      <c r="M47">
        <v>86.4</v>
      </c>
      <c r="N47">
        <f>L47*M47</f>
        <v>24.192</v>
      </c>
      <c r="O47">
        <f>M47-N47</f>
        <v>62.207999999999998</v>
      </c>
      <c r="P47">
        <f>O47*1.25</f>
        <v>77.760000000000005</v>
      </c>
    </row>
    <row r="48" spans="1:16" s="130" customFormat="1" ht="25.5" x14ac:dyDescent="0.2">
      <c r="A48" s="147" t="s">
        <v>300</v>
      </c>
      <c r="B48" s="147">
        <v>61108</v>
      </c>
      <c r="C48" s="147" t="s">
        <v>239</v>
      </c>
      <c r="D48" s="155" t="s">
        <v>337</v>
      </c>
      <c r="E48" s="156" t="s">
        <v>222</v>
      </c>
      <c r="F48" s="150">
        <v>1</v>
      </c>
      <c r="G48" s="151">
        <f>P48</f>
        <v>73.83</v>
      </c>
      <c r="H48" s="180">
        <f>F48*G48</f>
        <v>73.83</v>
      </c>
      <c r="I48" s="134">
        <f>H48*10</f>
        <v>738.3</v>
      </c>
      <c r="K48" s="125"/>
      <c r="L48" s="196">
        <v>0.28000000000000003</v>
      </c>
      <c r="M48">
        <v>82.03</v>
      </c>
      <c r="N48">
        <f>L48*M48</f>
        <v>22.968399999999999</v>
      </c>
      <c r="O48">
        <f>M48-N48</f>
        <v>59.061599999999999</v>
      </c>
      <c r="P48">
        <f>O48*1.25</f>
        <v>73.826999999999998</v>
      </c>
    </row>
    <row r="49" spans="1:16" s="130" customFormat="1" x14ac:dyDescent="0.2">
      <c r="A49" s="147" t="s">
        <v>301</v>
      </c>
      <c r="B49" s="147"/>
      <c r="C49" s="147"/>
      <c r="D49" s="160"/>
      <c r="E49" s="156"/>
      <c r="F49" s="150"/>
      <c r="G49" s="151"/>
      <c r="H49" s="151"/>
      <c r="I49" s="134"/>
      <c r="K49" s="125"/>
    </row>
    <row r="50" spans="1:16" s="126" customFormat="1" x14ac:dyDescent="0.2">
      <c r="A50" s="166" t="s">
        <v>68</v>
      </c>
      <c r="B50" s="166"/>
      <c r="C50" s="166"/>
      <c r="D50" s="167" t="s">
        <v>71</v>
      </c>
      <c r="E50" s="172"/>
      <c r="F50" s="173"/>
      <c r="G50" s="174" t="s">
        <v>233</v>
      </c>
      <c r="H50" s="181">
        <f>SUM(H51+H52)</f>
        <v>9191.15</v>
      </c>
      <c r="I50" s="134"/>
    </row>
    <row r="51" spans="1:16" s="126" customFormat="1" ht="38.25" x14ac:dyDescent="0.2">
      <c r="A51" s="147" t="s">
        <v>122</v>
      </c>
      <c r="B51" s="147">
        <v>72076</v>
      </c>
      <c r="C51" s="147" t="s">
        <v>244</v>
      </c>
      <c r="D51" s="157" t="s">
        <v>247</v>
      </c>
      <c r="E51" s="156" t="s">
        <v>171</v>
      </c>
      <c r="F51" s="150">
        <f>3.6*7.6+3.32*7.6</f>
        <v>52.59</v>
      </c>
      <c r="G51" s="151">
        <f>77.81*1.25</f>
        <v>97.26</v>
      </c>
      <c r="H51" s="180">
        <f>F51*G51</f>
        <v>5114.8999999999996</v>
      </c>
      <c r="I51" s="134">
        <f>H51*10</f>
        <v>51149</v>
      </c>
      <c r="L51" s="196"/>
      <c r="M51"/>
      <c r="N51"/>
      <c r="O51"/>
      <c r="P51"/>
    </row>
    <row r="52" spans="1:16" s="141" customFormat="1" ht="25.5" x14ac:dyDescent="0.2">
      <c r="A52" s="147"/>
      <c r="B52" s="147" t="s">
        <v>354</v>
      </c>
      <c r="C52" s="147" t="s">
        <v>244</v>
      </c>
      <c r="D52" s="157" t="s">
        <v>353</v>
      </c>
      <c r="E52" s="156" t="s">
        <v>171</v>
      </c>
      <c r="F52" s="150">
        <f>F51</f>
        <v>52.59</v>
      </c>
      <c r="G52" s="151">
        <f>62.01*1.25</f>
        <v>77.510000000000005</v>
      </c>
      <c r="H52" s="180">
        <f>F52*G52</f>
        <v>4076.25</v>
      </c>
      <c r="I52" s="134"/>
      <c r="L52" s="196"/>
      <c r="M52"/>
      <c r="N52"/>
      <c r="O52"/>
      <c r="P52"/>
    </row>
    <row r="53" spans="1:16" s="126" customFormat="1" x14ac:dyDescent="0.2">
      <c r="A53" s="166" t="s">
        <v>70</v>
      </c>
      <c r="B53" s="166"/>
      <c r="C53" s="166"/>
      <c r="D53" s="167" t="s">
        <v>75</v>
      </c>
      <c r="E53" s="172"/>
      <c r="F53" s="173"/>
      <c r="G53" s="174" t="s">
        <v>233</v>
      </c>
      <c r="H53" s="181">
        <f>H54+H55+H56+H57+H58+H59+H60+H61</f>
        <v>2309.96</v>
      </c>
      <c r="I53" s="134"/>
    </row>
    <row r="54" spans="1:16" s="126" customFormat="1" ht="25.5" x14ac:dyDescent="0.2">
      <c r="A54" s="147" t="s">
        <v>72</v>
      </c>
      <c r="B54" s="147">
        <v>30101</v>
      </c>
      <c r="C54" s="147" t="s">
        <v>239</v>
      </c>
      <c r="D54" s="155" t="s">
        <v>212</v>
      </c>
      <c r="E54" s="156" t="s">
        <v>41</v>
      </c>
      <c r="F54" s="150">
        <f>(1.2+1*2)*0.25*0.25</f>
        <v>0.2</v>
      </c>
      <c r="G54" s="151">
        <v>35.69</v>
      </c>
      <c r="H54" s="180">
        <f t="shared" ref="H54:H61" si="10">F54*G54</f>
        <v>7.14</v>
      </c>
      <c r="I54" s="134"/>
    </row>
    <row r="55" spans="1:16" s="126" customFormat="1" x14ac:dyDescent="0.2">
      <c r="A55" s="147" t="s">
        <v>73</v>
      </c>
      <c r="B55" s="147">
        <v>30201</v>
      </c>
      <c r="C55" s="147" t="s">
        <v>239</v>
      </c>
      <c r="D55" s="155" t="s">
        <v>252</v>
      </c>
      <c r="E55" s="156" t="s">
        <v>41</v>
      </c>
      <c r="F55" s="150">
        <f>0.2-(0.88*0.15)</f>
        <v>7.0000000000000007E-2</v>
      </c>
      <c r="G55" s="151">
        <v>38.44</v>
      </c>
      <c r="H55" s="180">
        <f t="shared" si="10"/>
        <v>2.69</v>
      </c>
      <c r="I55" s="134"/>
    </row>
    <row r="56" spans="1:16" s="126" customFormat="1" ht="38.25" x14ac:dyDescent="0.2">
      <c r="A56" s="147" t="s">
        <v>302</v>
      </c>
      <c r="B56" s="147">
        <v>50501</v>
      </c>
      <c r="C56" s="147" t="s">
        <v>239</v>
      </c>
      <c r="D56" s="155" t="s">
        <v>215</v>
      </c>
      <c r="E56" s="156" t="s">
        <v>38</v>
      </c>
      <c r="F56" s="150">
        <f>(1.2*2+1*2)*0.2</f>
        <v>0.88</v>
      </c>
      <c r="G56" s="151">
        <v>76.73</v>
      </c>
      <c r="H56" s="180">
        <f t="shared" si="10"/>
        <v>67.52</v>
      </c>
      <c r="I56" s="134"/>
    </row>
    <row r="57" spans="1:16" s="129" customFormat="1" ht="25.5" x14ac:dyDescent="0.2">
      <c r="A57" s="147" t="s">
        <v>303</v>
      </c>
      <c r="B57" s="147">
        <f>B27</f>
        <v>40333</v>
      </c>
      <c r="C57" s="147" t="s">
        <v>244</v>
      </c>
      <c r="D57" s="155" t="s">
        <v>250</v>
      </c>
      <c r="E57" s="156" t="s">
        <v>225</v>
      </c>
      <c r="F57" s="150">
        <f>38.8*0.08+(1.2*2+1*2)*0.05*0.15</f>
        <v>3.14</v>
      </c>
      <c r="G57" s="151">
        <f>G27</f>
        <v>6.16</v>
      </c>
      <c r="H57" s="180">
        <f t="shared" si="10"/>
        <v>19.34</v>
      </c>
      <c r="I57" s="134">
        <f>H57*10</f>
        <v>193.4</v>
      </c>
      <c r="K57" s="80">
        <v>11.85</v>
      </c>
      <c r="L57" s="196">
        <v>0.28000000000000003</v>
      </c>
      <c r="M57">
        <v>6.84</v>
      </c>
      <c r="N57">
        <f>L57*M57</f>
        <v>1.9152</v>
      </c>
      <c r="O57">
        <f>M57-N57</f>
        <v>4.9248000000000003</v>
      </c>
      <c r="P57">
        <f>O57*1.25</f>
        <v>6.1559999999999997</v>
      </c>
    </row>
    <row r="58" spans="1:16" s="129" customFormat="1" ht="25.5" x14ac:dyDescent="0.2">
      <c r="A58" s="147" t="s">
        <v>304</v>
      </c>
      <c r="B58" s="147" t="s">
        <v>340</v>
      </c>
      <c r="C58" s="147" t="s">
        <v>244</v>
      </c>
      <c r="D58" s="155" t="s">
        <v>339</v>
      </c>
      <c r="E58" s="156" t="s">
        <v>114</v>
      </c>
      <c r="F58" s="150">
        <f>1.2*1</f>
        <v>1.2</v>
      </c>
      <c r="G58" s="151">
        <f>44.41*1.25</f>
        <v>55.51</v>
      </c>
      <c r="H58" s="180">
        <f t="shared" si="10"/>
        <v>66.61</v>
      </c>
      <c r="I58" s="134"/>
      <c r="K58" s="125"/>
      <c r="L58" s="196"/>
      <c r="M58"/>
      <c r="N58"/>
      <c r="O58"/>
      <c r="P58"/>
    </row>
    <row r="59" spans="1:16" s="126" customFormat="1" ht="25.5" x14ac:dyDescent="0.2">
      <c r="A59" s="147" t="s">
        <v>355</v>
      </c>
      <c r="B59" s="147">
        <v>130303</v>
      </c>
      <c r="C59" s="147" t="s">
        <v>239</v>
      </c>
      <c r="D59" s="155" t="s">
        <v>333</v>
      </c>
      <c r="E59" s="156" t="s">
        <v>27</v>
      </c>
      <c r="F59" s="150">
        <f>2.5*4+3.3*2+3.4*2+2.8+2+3.4+4.8+1.4</f>
        <v>37.799999999999997</v>
      </c>
      <c r="G59" s="151">
        <f>P59</f>
        <v>9.9499999999999993</v>
      </c>
      <c r="H59" s="180">
        <f t="shared" si="10"/>
        <v>376.11</v>
      </c>
      <c r="I59" s="134"/>
      <c r="K59" s="125"/>
      <c r="L59" s="196">
        <v>0.28000000000000003</v>
      </c>
      <c r="M59">
        <v>11.05</v>
      </c>
      <c r="N59">
        <f>L59*M59</f>
        <v>3.0939999999999999</v>
      </c>
      <c r="O59">
        <f>M59-N59</f>
        <v>7.9560000000000004</v>
      </c>
      <c r="P59">
        <f>O59*1.25</f>
        <v>9.9450000000000003</v>
      </c>
    </row>
    <row r="60" spans="1:16" s="126" customFormat="1" ht="25.5" x14ac:dyDescent="0.2">
      <c r="A60" s="147" t="s">
        <v>356</v>
      </c>
      <c r="B60" s="147">
        <v>130103</v>
      </c>
      <c r="C60" s="147" t="s">
        <v>239</v>
      </c>
      <c r="D60" s="155" t="s">
        <v>249</v>
      </c>
      <c r="E60" s="156" t="s">
        <v>38</v>
      </c>
      <c r="F60" s="150">
        <f>F61</f>
        <v>35.270000000000003</v>
      </c>
      <c r="G60" s="151">
        <f>P60</f>
        <v>15.79</v>
      </c>
      <c r="H60" s="180">
        <f t="shared" si="10"/>
        <v>556.91</v>
      </c>
      <c r="I60" s="134"/>
      <c r="K60" s="125"/>
      <c r="L60" s="196">
        <v>0.28000000000000003</v>
      </c>
      <c r="M60">
        <v>17.54</v>
      </c>
      <c r="N60">
        <f>L60*M60</f>
        <v>4.9112</v>
      </c>
      <c r="O60">
        <f>M60-N60</f>
        <v>12.6288</v>
      </c>
      <c r="P60">
        <f>O60*1.25</f>
        <v>15.786</v>
      </c>
    </row>
    <row r="61" spans="1:16" s="141" customFormat="1" ht="46.5" customHeight="1" x14ac:dyDescent="0.2">
      <c r="A61" s="147" t="s">
        <v>357</v>
      </c>
      <c r="B61" s="147">
        <v>87247</v>
      </c>
      <c r="C61" s="147" t="s">
        <v>244</v>
      </c>
      <c r="D61" s="161" t="s">
        <v>350</v>
      </c>
      <c r="E61" s="147" t="str">
        <f>E60</f>
        <v>m2  </v>
      </c>
      <c r="F61" s="150">
        <f>(5.6+8.25+9.52+8.5+2.28+1.12)</f>
        <v>35.270000000000003</v>
      </c>
      <c r="G61" s="151">
        <f>27.53*1.25</f>
        <v>34.409999999999997</v>
      </c>
      <c r="H61" s="180">
        <f t="shared" si="10"/>
        <v>1213.6400000000001</v>
      </c>
      <c r="I61" s="134"/>
    </row>
    <row r="62" spans="1:16" s="126" customFormat="1" x14ac:dyDescent="0.2">
      <c r="A62" s="166" t="s">
        <v>74</v>
      </c>
      <c r="B62" s="166"/>
      <c r="C62" s="166"/>
      <c r="D62" s="167" t="s">
        <v>258</v>
      </c>
      <c r="E62" s="172"/>
      <c r="F62" s="173"/>
      <c r="G62" s="172" t="s">
        <v>233</v>
      </c>
      <c r="H62" s="181">
        <f>H63+H64+H65+H66+H67+H68+H69+H70+H71+H72+H73+H74+H75+H76+H77+H78+H79+H80</f>
        <v>3035.63</v>
      </c>
      <c r="I62" s="134"/>
      <c r="L62" s="197">
        <f>H53+H50+H36+H25+H14+H11</f>
        <v>45573.79</v>
      </c>
    </row>
    <row r="63" spans="1:16" s="126" customFormat="1" ht="39.75" customHeight="1" x14ac:dyDescent="0.2">
      <c r="A63" s="147" t="s">
        <v>76</v>
      </c>
      <c r="B63" s="147" t="s">
        <v>270</v>
      </c>
      <c r="C63" s="147" t="s">
        <v>244</v>
      </c>
      <c r="D63" s="161" t="s">
        <v>269</v>
      </c>
      <c r="E63" s="156" t="s">
        <v>67</v>
      </c>
      <c r="F63" s="150">
        <v>1</v>
      </c>
      <c r="G63" s="151">
        <f>83.06*1.25</f>
        <v>103.83</v>
      </c>
      <c r="H63" s="180">
        <f t="shared" ref="H63:H80" si="11">F63*G63</f>
        <v>103.83</v>
      </c>
      <c r="I63" s="134"/>
      <c r="K63" s="80"/>
    </row>
    <row r="64" spans="1:16" s="126" customFormat="1" ht="32.25" customHeight="1" x14ac:dyDescent="0.2">
      <c r="A64" s="147" t="s">
        <v>77</v>
      </c>
      <c r="B64" s="147" t="s">
        <v>272</v>
      </c>
      <c r="C64" s="147" t="s">
        <v>244</v>
      </c>
      <c r="D64" s="161" t="s">
        <v>271</v>
      </c>
      <c r="E64" s="156" t="s">
        <v>67</v>
      </c>
      <c r="F64" s="150">
        <v>1</v>
      </c>
      <c r="G64" s="151">
        <f>46.76*1.25</f>
        <v>58.45</v>
      </c>
      <c r="H64" s="180">
        <f t="shared" si="11"/>
        <v>58.45</v>
      </c>
      <c r="I64" s="134"/>
      <c r="K64" s="80"/>
    </row>
    <row r="65" spans="1:16" s="126" customFormat="1" ht="25.5" x14ac:dyDescent="0.2">
      <c r="A65" s="147" t="s">
        <v>176</v>
      </c>
      <c r="B65" s="147" t="s">
        <v>274</v>
      </c>
      <c r="C65" s="147" t="s">
        <v>244</v>
      </c>
      <c r="D65" s="161" t="s">
        <v>273</v>
      </c>
      <c r="E65" s="156" t="s">
        <v>67</v>
      </c>
      <c r="F65" s="150">
        <v>1</v>
      </c>
      <c r="G65" s="151">
        <f>396.4*1.25</f>
        <v>495.5</v>
      </c>
      <c r="H65" s="180">
        <f t="shared" si="11"/>
        <v>495.5</v>
      </c>
      <c r="I65" s="134">
        <f>H65*10</f>
        <v>4955</v>
      </c>
      <c r="K65" s="80">
        <v>286.42</v>
      </c>
      <c r="L65" s="196">
        <v>0.28000000000000003</v>
      </c>
      <c r="M65">
        <v>492.75</v>
      </c>
      <c r="N65">
        <f>L65*M65</f>
        <v>137.97</v>
      </c>
      <c r="O65">
        <f>M65-N65</f>
        <v>354.78</v>
      </c>
      <c r="P65">
        <f>O65*1.25</f>
        <v>443.47500000000002</v>
      </c>
    </row>
    <row r="66" spans="1:16" s="130" customFormat="1" x14ac:dyDescent="0.2">
      <c r="A66" s="147" t="s">
        <v>177</v>
      </c>
      <c r="B66" s="147">
        <v>142119</v>
      </c>
      <c r="C66" s="147" t="s">
        <v>239</v>
      </c>
      <c r="D66" s="162" t="s">
        <v>216</v>
      </c>
      <c r="E66" s="156" t="s">
        <v>67</v>
      </c>
      <c r="F66" s="150">
        <v>1</v>
      </c>
      <c r="G66" s="151">
        <f t="shared" ref="G66:G72" si="12">P66</f>
        <v>46.5</v>
      </c>
      <c r="H66" s="180">
        <f t="shared" si="11"/>
        <v>46.5</v>
      </c>
      <c r="I66" s="134">
        <f>H66*10</f>
        <v>465</v>
      </c>
      <c r="K66" s="80">
        <v>19.739999999999998</v>
      </c>
      <c r="L66" s="196">
        <v>0.28000000000000003</v>
      </c>
      <c r="M66">
        <v>51.67</v>
      </c>
      <c r="N66">
        <f>L66*M66</f>
        <v>14.467599999999999</v>
      </c>
      <c r="O66">
        <f>M66-N66</f>
        <v>37.202399999999997</v>
      </c>
      <c r="P66">
        <f t="shared" ref="P66:P74" si="13">O66*1.25</f>
        <v>46.503</v>
      </c>
    </row>
    <row r="67" spans="1:16" s="126" customFormat="1" x14ac:dyDescent="0.2">
      <c r="A67" s="147" t="s">
        <v>178</v>
      </c>
      <c r="B67" s="147">
        <v>140701</v>
      </c>
      <c r="C67" s="147" t="s">
        <v>239</v>
      </c>
      <c r="D67" s="162" t="s">
        <v>217</v>
      </c>
      <c r="E67" s="156" t="s">
        <v>67</v>
      </c>
      <c r="F67" s="150">
        <v>5</v>
      </c>
      <c r="G67" s="151">
        <f t="shared" si="12"/>
        <v>64.849999999999994</v>
      </c>
      <c r="H67" s="180">
        <f t="shared" si="11"/>
        <v>324.25</v>
      </c>
      <c r="I67" s="134">
        <f>H67*10</f>
        <v>3242.5</v>
      </c>
      <c r="K67" s="80">
        <v>4.5999999999999996</v>
      </c>
      <c r="L67" s="196">
        <v>0.28000000000000003</v>
      </c>
      <c r="M67">
        <v>72.05</v>
      </c>
      <c r="N67">
        <f>L67*M67</f>
        <v>20.173999999999999</v>
      </c>
      <c r="O67">
        <f>M67-N67</f>
        <v>51.875999999999998</v>
      </c>
      <c r="P67">
        <f t="shared" si="13"/>
        <v>64.844999999999999</v>
      </c>
    </row>
    <row r="68" spans="1:16" s="126" customFormat="1" x14ac:dyDescent="0.2">
      <c r="A68" s="147" t="s">
        <v>179</v>
      </c>
      <c r="B68" s="147">
        <v>140702</v>
      </c>
      <c r="C68" s="147" t="s">
        <v>239</v>
      </c>
      <c r="D68" s="162" t="s">
        <v>218</v>
      </c>
      <c r="E68" s="156" t="s">
        <v>67</v>
      </c>
      <c r="F68" s="150">
        <v>1</v>
      </c>
      <c r="G68" s="151">
        <f t="shared" si="12"/>
        <v>114.64</v>
      </c>
      <c r="H68" s="180">
        <f t="shared" si="11"/>
        <v>114.64</v>
      </c>
      <c r="I68" s="134">
        <f>H68*10</f>
        <v>1146.4000000000001</v>
      </c>
      <c r="K68" s="80">
        <v>2.4700000000000002</v>
      </c>
      <c r="L68" s="196">
        <v>0.28000000000000003</v>
      </c>
      <c r="M68">
        <v>127.38</v>
      </c>
      <c r="N68">
        <f>L68*M68</f>
        <v>35.666400000000003</v>
      </c>
      <c r="O68">
        <f>M68-N68</f>
        <v>91.7136</v>
      </c>
      <c r="P68">
        <f t="shared" si="13"/>
        <v>114.642</v>
      </c>
    </row>
    <row r="69" spans="1:16" s="126" customFormat="1" x14ac:dyDescent="0.2">
      <c r="A69" s="147" t="s">
        <v>180</v>
      </c>
      <c r="B69" s="147">
        <v>140705</v>
      </c>
      <c r="C69" s="147" t="s">
        <v>239</v>
      </c>
      <c r="D69" s="162" t="s">
        <v>219</v>
      </c>
      <c r="E69" s="156" t="s">
        <v>67</v>
      </c>
      <c r="F69" s="150">
        <v>1</v>
      </c>
      <c r="G69" s="151">
        <f t="shared" si="12"/>
        <v>76.52</v>
      </c>
      <c r="H69" s="180">
        <f t="shared" si="11"/>
        <v>76.52</v>
      </c>
      <c r="I69" s="134"/>
      <c r="K69" s="80"/>
      <c r="L69" s="196">
        <v>0.28000000000000003</v>
      </c>
      <c r="M69">
        <v>85.02</v>
      </c>
      <c r="N69">
        <f t="shared" ref="N69:N74" si="14">L69*M69</f>
        <v>23.805599999999998</v>
      </c>
      <c r="O69">
        <f t="shared" ref="O69:O74" si="15">M69-N69</f>
        <v>61.214399999999998</v>
      </c>
      <c r="P69">
        <f t="shared" si="13"/>
        <v>76.518000000000001</v>
      </c>
    </row>
    <row r="70" spans="1:16" s="126" customFormat="1" x14ac:dyDescent="0.2">
      <c r="A70" s="147" t="s">
        <v>181</v>
      </c>
      <c r="B70" s="147">
        <v>140706</v>
      </c>
      <c r="C70" s="147" t="s">
        <v>239</v>
      </c>
      <c r="D70" s="162" t="s">
        <v>220</v>
      </c>
      <c r="E70" s="156" t="s">
        <v>67</v>
      </c>
      <c r="F70" s="150">
        <v>4</v>
      </c>
      <c r="G70" s="151">
        <f t="shared" si="12"/>
        <v>60.26</v>
      </c>
      <c r="H70" s="180">
        <f t="shared" si="11"/>
        <v>241.04</v>
      </c>
      <c r="I70" s="134"/>
      <c r="K70" s="80"/>
      <c r="L70" s="196">
        <v>0.28000000000000003</v>
      </c>
      <c r="M70">
        <v>66.95</v>
      </c>
      <c r="N70">
        <f>L70*M70</f>
        <v>18.745999999999999</v>
      </c>
      <c r="O70">
        <f>M70-N70</f>
        <v>48.204000000000001</v>
      </c>
      <c r="P70">
        <f t="shared" si="13"/>
        <v>60.255000000000003</v>
      </c>
    </row>
    <row r="71" spans="1:16" s="126" customFormat="1" ht="25.5" x14ac:dyDescent="0.2">
      <c r="A71" s="147" t="s">
        <v>182</v>
      </c>
      <c r="B71" s="147">
        <v>140707</v>
      </c>
      <c r="C71" s="147" t="s">
        <v>239</v>
      </c>
      <c r="D71" s="155" t="s">
        <v>257</v>
      </c>
      <c r="E71" s="156" t="s">
        <v>67</v>
      </c>
      <c r="F71" s="150">
        <v>2</v>
      </c>
      <c r="G71" s="151">
        <f t="shared" si="12"/>
        <v>98.87</v>
      </c>
      <c r="H71" s="180">
        <f t="shared" si="11"/>
        <v>197.74</v>
      </c>
      <c r="I71" s="134"/>
      <c r="K71" s="80"/>
      <c r="L71" s="196">
        <v>0.28000000000000003</v>
      </c>
      <c r="M71">
        <v>109.86</v>
      </c>
      <c r="N71">
        <f>L71*M71</f>
        <v>30.7608</v>
      </c>
      <c r="O71">
        <f>M71-N71</f>
        <v>79.099199999999996</v>
      </c>
      <c r="P71">
        <f t="shared" si="13"/>
        <v>98.873999999999995</v>
      </c>
    </row>
    <row r="72" spans="1:16" s="126" customFormat="1" ht="25.5" x14ac:dyDescent="0.2">
      <c r="A72" s="147" t="s">
        <v>183</v>
      </c>
      <c r="B72" s="147">
        <v>140708</v>
      </c>
      <c r="C72" s="147" t="s">
        <v>239</v>
      </c>
      <c r="D72" s="155" t="s">
        <v>221</v>
      </c>
      <c r="E72" s="156" t="s">
        <v>67</v>
      </c>
      <c r="F72" s="150">
        <v>1</v>
      </c>
      <c r="G72" s="151">
        <f t="shared" si="12"/>
        <v>57.94</v>
      </c>
      <c r="H72" s="180">
        <f t="shared" si="11"/>
        <v>57.94</v>
      </c>
      <c r="I72" s="134"/>
      <c r="K72" s="80"/>
      <c r="L72" s="196">
        <v>0.28000000000000003</v>
      </c>
      <c r="M72">
        <v>64.38</v>
      </c>
      <c r="N72">
        <f>L72*M72</f>
        <v>18.026399999999999</v>
      </c>
      <c r="O72">
        <f>M72-N72</f>
        <v>46.3536</v>
      </c>
      <c r="P72">
        <f t="shared" si="13"/>
        <v>57.942</v>
      </c>
    </row>
    <row r="73" spans="1:16" s="129" customFormat="1" x14ac:dyDescent="0.2">
      <c r="A73" s="147" t="s">
        <v>184</v>
      </c>
      <c r="B73" s="147" t="s">
        <v>259</v>
      </c>
      <c r="C73" s="147" t="s">
        <v>244</v>
      </c>
      <c r="D73" s="161" t="s">
        <v>261</v>
      </c>
      <c r="E73" s="156" t="s">
        <v>67</v>
      </c>
      <c r="F73" s="150">
        <v>1</v>
      </c>
      <c r="G73" s="151">
        <f>98.35*1.25</f>
        <v>122.94</v>
      </c>
      <c r="H73" s="180">
        <f t="shared" si="11"/>
        <v>122.94</v>
      </c>
      <c r="I73" s="134">
        <f>H73*10</f>
        <v>1229.4000000000001</v>
      </c>
      <c r="K73" s="80">
        <v>14.82</v>
      </c>
      <c r="L73" s="196">
        <v>0.28000000000000003</v>
      </c>
      <c r="M73">
        <v>138.66</v>
      </c>
      <c r="N73">
        <f t="shared" si="14"/>
        <v>38.824800000000003</v>
      </c>
      <c r="O73">
        <f t="shared" si="15"/>
        <v>99.8352</v>
      </c>
      <c r="P73">
        <f t="shared" si="13"/>
        <v>124.794</v>
      </c>
    </row>
    <row r="74" spans="1:16" s="129" customFormat="1" x14ac:dyDescent="0.2">
      <c r="A74" s="147" t="s">
        <v>185</v>
      </c>
      <c r="B74" s="147" t="s">
        <v>263</v>
      </c>
      <c r="C74" s="147" t="s">
        <v>244</v>
      </c>
      <c r="D74" s="161" t="s">
        <v>262</v>
      </c>
      <c r="E74" s="156" t="s">
        <v>67</v>
      </c>
      <c r="F74" s="150">
        <v>1</v>
      </c>
      <c r="G74" s="151">
        <f>70.63*1.25</f>
        <v>88.29</v>
      </c>
      <c r="H74" s="180">
        <f t="shared" si="11"/>
        <v>88.29</v>
      </c>
      <c r="I74" s="134">
        <f>H74*10</f>
        <v>882.9</v>
      </c>
      <c r="K74" s="80">
        <v>12.23</v>
      </c>
      <c r="L74" s="196">
        <v>0.28000000000000003</v>
      </c>
      <c r="M74">
        <v>138.66</v>
      </c>
      <c r="N74">
        <f t="shared" si="14"/>
        <v>38.824800000000003</v>
      </c>
      <c r="O74">
        <f t="shared" si="15"/>
        <v>99.8352</v>
      </c>
      <c r="P74">
        <f t="shared" si="13"/>
        <v>124.794</v>
      </c>
    </row>
    <row r="75" spans="1:16" s="129" customFormat="1" ht="25.5" x14ac:dyDescent="0.2">
      <c r="A75" s="147" t="s">
        <v>186</v>
      </c>
      <c r="B75" s="147">
        <v>72798</v>
      </c>
      <c r="C75" s="147" t="s">
        <v>244</v>
      </c>
      <c r="D75" s="161" t="s">
        <v>129</v>
      </c>
      <c r="E75" s="156" t="s">
        <v>67</v>
      </c>
      <c r="F75" s="150">
        <v>2</v>
      </c>
      <c r="G75" s="151">
        <f>22.12*1.25</f>
        <v>27.65</v>
      </c>
      <c r="H75" s="180">
        <f t="shared" si="11"/>
        <v>55.3</v>
      </c>
      <c r="I75" s="134">
        <f>H75*10</f>
        <v>553</v>
      </c>
      <c r="K75" s="80"/>
    </row>
    <row r="76" spans="1:16" s="129" customFormat="1" ht="25.5" x14ac:dyDescent="0.2">
      <c r="A76" s="147" t="s">
        <v>187</v>
      </c>
      <c r="B76" s="147">
        <v>72797</v>
      </c>
      <c r="C76" s="147" t="s">
        <v>244</v>
      </c>
      <c r="D76" s="161" t="s">
        <v>130</v>
      </c>
      <c r="E76" s="156" t="s">
        <v>67</v>
      </c>
      <c r="F76" s="150">
        <v>2</v>
      </c>
      <c r="G76" s="151">
        <f>18.62*1.25</f>
        <v>23.28</v>
      </c>
      <c r="H76" s="180">
        <f t="shared" si="11"/>
        <v>46.56</v>
      </c>
      <c r="I76" s="134">
        <f>H76*10</f>
        <v>465.6</v>
      </c>
      <c r="K76" s="80"/>
    </row>
    <row r="77" spans="1:16" s="129" customFormat="1" ht="38.25" x14ac:dyDescent="0.2">
      <c r="A77" s="147" t="s">
        <v>188</v>
      </c>
      <c r="B77" s="147" t="s">
        <v>360</v>
      </c>
      <c r="C77" s="147" t="s">
        <v>244</v>
      </c>
      <c r="D77" s="161" t="s">
        <v>264</v>
      </c>
      <c r="E77" s="156" t="s">
        <v>67</v>
      </c>
      <c r="F77" s="150">
        <v>1</v>
      </c>
      <c r="G77" s="151">
        <f>100.19*1.25</f>
        <v>125.24</v>
      </c>
      <c r="H77" s="180">
        <f t="shared" si="11"/>
        <v>125.24</v>
      </c>
      <c r="I77" s="134"/>
      <c r="K77" s="80"/>
    </row>
    <row r="78" spans="1:16" s="129" customFormat="1" ht="38.25" x14ac:dyDescent="0.2">
      <c r="A78" s="147" t="s">
        <v>189</v>
      </c>
      <c r="B78" s="147" t="s">
        <v>266</v>
      </c>
      <c r="C78" s="147" t="s">
        <v>244</v>
      </c>
      <c r="D78" s="161" t="s">
        <v>265</v>
      </c>
      <c r="E78" s="156" t="s">
        <v>67</v>
      </c>
      <c r="F78" s="150">
        <v>1</v>
      </c>
      <c r="G78" s="151">
        <f>106.81*1.25</f>
        <v>133.51</v>
      </c>
      <c r="H78" s="180">
        <f t="shared" si="11"/>
        <v>133.51</v>
      </c>
      <c r="I78" s="134"/>
      <c r="K78" s="80"/>
    </row>
    <row r="79" spans="1:16" s="129" customFormat="1" ht="25.5" x14ac:dyDescent="0.2">
      <c r="A79" s="147" t="s">
        <v>190</v>
      </c>
      <c r="B79" s="147">
        <v>140906</v>
      </c>
      <c r="C79" s="147" t="s">
        <v>239</v>
      </c>
      <c r="D79" s="161" t="s">
        <v>267</v>
      </c>
      <c r="E79" s="156" t="s">
        <v>27</v>
      </c>
      <c r="F79" s="150">
        <v>0.3</v>
      </c>
      <c r="G79" s="151">
        <f>P79</f>
        <v>33.28</v>
      </c>
      <c r="H79" s="180">
        <f t="shared" si="11"/>
        <v>9.98</v>
      </c>
      <c r="I79" s="134"/>
      <c r="K79" s="80"/>
      <c r="L79" s="196">
        <v>0.28000000000000003</v>
      </c>
      <c r="M79">
        <v>36.979999999999997</v>
      </c>
      <c r="N79">
        <f>L79*M79</f>
        <v>10.3544</v>
      </c>
      <c r="O79">
        <f>M79-N79</f>
        <v>26.625599999999999</v>
      </c>
      <c r="P79">
        <f>O79*1.25</f>
        <v>33.281999999999996</v>
      </c>
    </row>
    <row r="80" spans="1:16" s="129" customFormat="1" ht="25.5" x14ac:dyDescent="0.2">
      <c r="A80" s="147" t="s">
        <v>191</v>
      </c>
      <c r="B80" s="147">
        <v>140903</v>
      </c>
      <c r="C80" s="147" t="s">
        <v>239</v>
      </c>
      <c r="D80" s="161" t="s">
        <v>268</v>
      </c>
      <c r="E80" s="156" t="s">
        <v>27</v>
      </c>
      <c r="F80" s="150">
        <v>20</v>
      </c>
      <c r="G80" s="151">
        <f>P80</f>
        <v>36.869999999999997</v>
      </c>
      <c r="H80" s="180">
        <f t="shared" si="11"/>
        <v>737.4</v>
      </c>
      <c r="I80" s="134"/>
      <c r="K80" s="80"/>
      <c r="L80" s="196">
        <v>0.28000000000000003</v>
      </c>
      <c r="M80">
        <v>40.97</v>
      </c>
      <c r="N80">
        <f>L80*M80</f>
        <v>11.4716</v>
      </c>
      <c r="O80">
        <f>M80-N80</f>
        <v>29.4984</v>
      </c>
      <c r="P80">
        <f>O80*1.25</f>
        <v>36.872999999999998</v>
      </c>
    </row>
    <row r="81" spans="1:11" s="129" customFormat="1" x14ac:dyDescent="0.2">
      <c r="A81" s="166" t="s">
        <v>78</v>
      </c>
      <c r="B81" s="166"/>
      <c r="C81" s="166"/>
      <c r="D81" s="167" t="s">
        <v>275</v>
      </c>
      <c r="E81" s="172"/>
      <c r="F81" s="173"/>
      <c r="G81" s="172" t="s">
        <v>233</v>
      </c>
      <c r="H81" s="181">
        <f>H82+H83+H84+H85+H86+H87+H88+H89</f>
        <v>1093.49</v>
      </c>
      <c r="I81" s="134"/>
      <c r="K81" s="80"/>
    </row>
    <row r="82" spans="1:11" s="129" customFormat="1" ht="38.25" x14ac:dyDescent="0.2">
      <c r="A82" s="147" t="s">
        <v>80</v>
      </c>
      <c r="B82" s="147">
        <v>86888</v>
      </c>
      <c r="C82" s="147" t="s">
        <v>244</v>
      </c>
      <c r="D82" s="161" t="s">
        <v>361</v>
      </c>
      <c r="E82" s="156" t="s">
        <v>67</v>
      </c>
      <c r="F82" s="150">
        <v>1</v>
      </c>
      <c r="G82" s="151">
        <f>319.71*1.25</f>
        <v>399.64</v>
      </c>
      <c r="H82" s="180">
        <f t="shared" ref="H82:H89" si="16">F82*G82</f>
        <v>399.64</v>
      </c>
      <c r="I82" s="134"/>
      <c r="K82" s="80"/>
    </row>
    <row r="83" spans="1:11" s="129" customFormat="1" ht="63.75" x14ac:dyDescent="0.2">
      <c r="A83" s="147" t="s">
        <v>81</v>
      </c>
      <c r="B83" s="147">
        <v>86942</v>
      </c>
      <c r="C83" s="147" t="s">
        <v>244</v>
      </c>
      <c r="D83" s="161" t="s">
        <v>362</v>
      </c>
      <c r="E83" s="156" t="s">
        <v>67</v>
      </c>
      <c r="F83" s="150">
        <v>1</v>
      </c>
      <c r="G83" s="151">
        <f>133.36*1.25</f>
        <v>166.7</v>
      </c>
      <c r="H83" s="180">
        <f t="shared" si="16"/>
        <v>166.7</v>
      </c>
      <c r="I83" s="134"/>
      <c r="K83" s="80"/>
    </row>
    <row r="84" spans="1:11" s="129" customFormat="1" ht="68.25" customHeight="1" x14ac:dyDescent="0.2">
      <c r="A84" s="147" t="s">
        <v>82</v>
      </c>
      <c r="B84" s="147">
        <v>86933</v>
      </c>
      <c r="C84" s="147" t="s">
        <v>244</v>
      </c>
      <c r="D84" s="161" t="s">
        <v>363</v>
      </c>
      <c r="E84" s="156" t="s">
        <v>67</v>
      </c>
      <c r="F84" s="150">
        <v>1</v>
      </c>
      <c r="G84" s="151">
        <f>222.74*1.25</f>
        <v>278.43</v>
      </c>
      <c r="H84" s="180">
        <f t="shared" si="16"/>
        <v>278.43</v>
      </c>
      <c r="I84" s="134"/>
      <c r="K84" s="80"/>
    </row>
    <row r="85" spans="1:11" s="126" customFormat="1" ht="33" customHeight="1" x14ac:dyDescent="0.2">
      <c r="A85" s="147" t="s">
        <v>83</v>
      </c>
      <c r="B85" s="147">
        <v>9535</v>
      </c>
      <c r="C85" s="147" t="s">
        <v>244</v>
      </c>
      <c r="D85" s="161" t="s">
        <v>276</v>
      </c>
      <c r="E85" s="156" t="s">
        <v>67</v>
      </c>
      <c r="F85" s="150">
        <v>1</v>
      </c>
      <c r="G85" s="151">
        <f>45.78*1.25</f>
        <v>57.23</v>
      </c>
      <c r="H85" s="180">
        <f t="shared" si="16"/>
        <v>57.23</v>
      </c>
      <c r="I85" s="134">
        <f>H85*10</f>
        <v>572.29999999999995</v>
      </c>
      <c r="J85" s="140"/>
      <c r="K85" s="80">
        <v>93.25</v>
      </c>
    </row>
    <row r="86" spans="1:11" s="126" customFormat="1" ht="33" customHeight="1" x14ac:dyDescent="0.2">
      <c r="A86" s="147"/>
      <c r="B86" s="147">
        <v>86877</v>
      </c>
      <c r="C86" s="147" t="s">
        <v>244</v>
      </c>
      <c r="D86" s="161" t="s">
        <v>365</v>
      </c>
      <c r="E86" s="156" t="s">
        <v>67</v>
      </c>
      <c r="F86" s="150">
        <v>1</v>
      </c>
      <c r="G86" s="151">
        <f>16.44*1.25</f>
        <v>20.55</v>
      </c>
      <c r="H86" s="180">
        <f t="shared" si="16"/>
        <v>20.55</v>
      </c>
      <c r="I86" s="134"/>
      <c r="J86" s="140"/>
      <c r="K86" s="80"/>
    </row>
    <row r="87" spans="1:11" s="126" customFormat="1" ht="33" customHeight="1" x14ac:dyDescent="0.2">
      <c r="A87" s="147"/>
      <c r="B87" s="147">
        <v>86882</v>
      </c>
      <c r="C87" s="147" t="s">
        <v>244</v>
      </c>
      <c r="D87" s="161" t="s">
        <v>366</v>
      </c>
      <c r="E87" s="156" t="s">
        <v>67</v>
      </c>
      <c r="F87" s="150">
        <v>1</v>
      </c>
      <c r="G87" s="151">
        <f>12.54*1.25</f>
        <v>15.68</v>
      </c>
      <c r="H87" s="180">
        <f t="shared" si="16"/>
        <v>15.68</v>
      </c>
      <c r="I87" s="134"/>
      <c r="J87" s="140"/>
      <c r="K87" s="80"/>
    </row>
    <row r="88" spans="1:11" s="126" customFormat="1" ht="33" customHeight="1" x14ac:dyDescent="0.2">
      <c r="A88" s="147"/>
      <c r="B88" s="147">
        <v>86913</v>
      </c>
      <c r="C88" s="147" t="s">
        <v>244</v>
      </c>
      <c r="D88" s="161" t="s">
        <v>367</v>
      </c>
      <c r="E88" s="156" t="s">
        <v>67</v>
      </c>
      <c r="F88" s="150">
        <v>1</v>
      </c>
      <c r="G88" s="151">
        <f>12.08*1.25</f>
        <v>15.1</v>
      </c>
      <c r="H88" s="180">
        <f t="shared" si="16"/>
        <v>15.1</v>
      </c>
      <c r="I88" s="134"/>
      <c r="J88" s="140"/>
      <c r="K88" s="80"/>
    </row>
    <row r="89" spans="1:11" s="126" customFormat="1" ht="45.75" customHeight="1" x14ac:dyDescent="0.2">
      <c r="A89" s="147" t="s">
        <v>84</v>
      </c>
      <c r="B89" s="147">
        <v>86876</v>
      </c>
      <c r="C89" s="147" t="s">
        <v>244</v>
      </c>
      <c r="D89" s="161" t="s">
        <v>364</v>
      </c>
      <c r="E89" s="156" t="s">
        <v>67</v>
      </c>
      <c r="F89" s="150">
        <v>1</v>
      </c>
      <c r="G89" s="151">
        <f>112.13*1.25</f>
        <v>140.16</v>
      </c>
      <c r="H89" s="180">
        <f t="shared" si="16"/>
        <v>140.16</v>
      </c>
      <c r="I89" s="134">
        <f>H89*10</f>
        <v>1401.6</v>
      </c>
      <c r="K89" s="80"/>
    </row>
    <row r="90" spans="1:11" s="126" customFormat="1" x14ac:dyDescent="0.2">
      <c r="A90" s="166" t="s">
        <v>90</v>
      </c>
      <c r="B90" s="166"/>
      <c r="C90" s="166"/>
      <c r="D90" s="167" t="s">
        <v>277</v>
      </c>
      <c r="E90" s="172"/>
      <c r="F90" s="173"/>
      <c r="G90" s="172" t="s">
        <v>233</v>
      </c>
      <c r="H90" s="181">
        <f>H91+H92+H93+H94+H95+H96+H97</f>
        <v>834.95</v>
      </c>
      <c r="I90" s="134"/>
    </row>
    <row r="91" spans="1:11" s="126" customFormat="1" ht="25.5" x14ac:dyDescent="0.2">
      <c r="A91" s="147" t="s">
        <v>92</v>
      </c>
      <c r="B91" s="147" t="s">
        <v>279</v>
      </c>
      <c r="C91" s="147" t="s">
        <v>244</v>
      </c>
      <c r="D91" s="163" t="s">
        <v>278</v>
      </c>
      <c r="E91" s="158" t="s">
        <v>67</v>
      </c>
      <c r="F91" s="159">
        <v>5</v>
      </c>
      <c r="G91" s="151">
        <f>42.8*1.25</f>
        <v>53.5</v>
      </c>
      <c r="H91" s="180">
        <f t="shared" ref="H91:H97" si="17">F91*G91</f>
        <v>267.5</v>
      </c>
      <c r="I91" s="134">
        <f t="shared" ref="I91:I112" si="18">H91*10</f>
        <v>2675</v>
      </c>
    </row>
    <row r="92" spans="1:11" s="126" customFormat="1" ht="43.5" customHeight="1" x14ac:dyDescent="0.2">
      <c r="A92" s="147" t="s">
        <v>93</v>
      </c>
      <c r="B92" s="147">
        <v>83540</v>
      </c>
      <c r="C92" s="147" t="s">
        <v>244</v>
      </c>
      <c r="D92" s="163" t="s">
        <v>280</v>
      </c>
      <c r="E92" s="158" t="s">
        <v>67</v>
      </c>
      <c r="F92" s="159">
        <v>5</v>
      </c>
      <c r="G92" s="151">
        <f>12.06*1.25</f>
        <v>15.08</v>
      </c>
      <c r="H92" s="180">
        <f t="shared" si="17"/>
        <v>75.400000000000006</v>
      </c>
      <c r="I92" s="134">
        <f t="shared" si="18"/>
        <v>754</v>
      </c>
    </row>
    <row r="93" spans="1:11" s="126" customFormat="1" ht="69.75" customHeight="1" x14ac:dyDescent="0.2">
      <c r="A93" s="147" t="s">
        <v>94</v>
      </c>
      <c r="B93" s="147">
        <v>83466</v>
      </c>
      <c r="C93" s="147" t="s">
        <v>244</v>
      </c>
      <c r="D93" s="163" t="s">
        <v>287</v>
      </c>
      <c r="E93" s="158" t="s">
        <v>67</v>
      </c>
      <c r="F93" s="159">
        <v>4</v>
      </c>
      <c r="G93" s="151">
        <f>21.93*1.25</f>
        <v>27.41</v>
      </c>
      <c r="H93" s="180">
        <f t="shared" si="17"/>
        <v>109.64</v>
      </c>
      <c r="I93" s="134"/>
    </row>
    <row r="94" spans="1:11" s="126" customFormat="1" ht="69.75" customHeight="1" x14ac:dyDescent="0.2">
      <c r="A94" s="147" t="s">
        <v>95</v>
      </c>
      <c r="B94" s="147">
        <v>72331</v>
      </c>
      <c r="C94" s="147" t="s">
        <v>244</v>
      </c>
      <c r="D94" s="163" t="s">
        <v>288</v>
      </c>
      <c r="E94" s="158" t="s">
        <v>67</v>
      </c>
      <c r="F94" s="159">
        <v>1</v>
      </c>
      <c r="G94" s="151">
        <f>9.8*1.25</f>
        <v>12.25</v>
      </c>
      <c r="H94" s="180">
        <f t="shared" si="17"/>
        <v>12.25</v>
      </c>
      <c r="I94" s="134"/>
    </row>
    <row r="95" spans="1:11" s="126" customFormat="1" ht="38.25" x14ac:dyDescent="0.2">
      <c r="A95" s="147" t="s">
        <v>96</v>
      </c>
      <c r="B95" s="147" t="s">
        <v>283</v>
      </c>
      <c r="C95" s="147" t="s">
        <v>244</v>
      </c>
      <c r="D95" s="163" t="s">
        <v>282</v>
      </c>
      <c r="E95" s="158" t="s">
        <v>67</v>
      </c>
      <c r="F95" s="159">
        <v>1</v>
      </c>
      <c r="G95" s="151">
        <f>11.52*1.25</f>
        <v>14.4</v>
      </c>
      <c r="H95" s="180">
        <f t="shared" si="17"/>
        <v>14.4</v>
      </c>
      <c r="I95" s="134">
        <f t="shared" si="18"/>
        <v>144</v>
      </c>
    </row>
    <row r="96" spans="1:11" s="126" customFormat="1" ht="38.25" x14ac:dyDescent="0.2">
      <c r="A96" s="147" t="s">
        <v>97</v>
      </c>
      <c r="B96" s="147" t="s">
        <v>284</v>
      </c>
      <c r="C96" s="147" t="s">
        <v>244</v>
      </c>
      <c r="D96" s="155" t="s">
        <v>281</v>
      </c>
      <c r="E96" s="156" t="s">
        <v>67</v>
      </c>
      <c r="F96" s="150">
        <v>1</v>
      </c>
      <c r="G96" s="151">
        <f>54.31*1.25</f>
        <v>67.89</v>
      </c>
      <c r="H96" s="180">
        <f t="shared" si="17"/>
        <v>67.89</v>
      </c>
      <c r="I96" s="134">
        <f t="shared" si="18"/>
        <v>678.9</v>
      </c>
    </row>
    <row r="97" spans="1:16" ht="25.5" x14ac:dyDescent="0.2">
      <c r="A97" s="147" t="s">
        <v>98</v>
      </c>
      <c r="B97" s="147">
        <v>150306</v>
      </c>
      <c r="C97" s="147" t="s">
        <v>239</v>
      </c>
      <c r="D97" s="155" t="s">
        <v>285</v>
      </c>
      <c r="E97" s="156" t="s">
        <v>67</v>
      </c>
      <c r="F97" s="150">
        <v>1</v>
      </c>
      <c r="G97" s="151">
        <f>P97</f>
        <v>287.87</v>
      </c>
      <c r="H97" s="180">
        <f t="shared" si="17"/>
        <v>287.87</v>
      </c>
      <c r="I97" s="134">
        <f t="shared" si="18"/>
        <v>2878.7</v>
      </c>
      <c r="L97" s="196">
        <v>0.28000000000000003</v>
      </c>
      <c r="M97">
        <v>319.85000000000002</v>
      </c>
      <c r="N97">
        <f>L97*M97</f>
        <v>89.558000000000007</v>
      </c>
      <c r="O97">
        <f>M97-N97</f>
        <v>230.292</v>
      </c>
      <c r="P97">
        <f>O97*1.25</f>
        <v>287.86500000000001</v>
      </c>
    </row>
    <row r="98" spans="1:16" x14ac:dyDescent="0.2">
      <c r="A98" s="166" t="s">
        <v>105</v>
      </c>
      <c r="B98" s="166"/>
      <c r="C98" s="166"/>
      <c r="D98" s="167" t="s">
        <v>106</v>
      </c>
      <c r="E98" s="172"/>
      <c r="F98" s="173"/>
      <c r="G98" s="172" t="s">
        <v>233</v>
      </c>
      <c r="H98" s="181">
        <f>H99+H100+H101+H102+H103+H104+H105+H106</f>
        <v>3543.13</v>
      </c>
      <c r="I98" s="134"/>
    </row>
    <row r="99" spans="1:16" ht="70.5" customHeight="1" x14ac:dyDescent="0.2">
      <c r="A99" s="147" t="s">
        <v>108</v>
      </c>
      <c r="B99" s="147">
        <v>9540</v>
      </c>
      <c r="C99" s="147" t="s">
        <v>244</v>
      </c>
      <c r="D99" s="164" t="s">
        <v>286</v>
      </c>
      <c r="E99" s="153" t="s">
        <v>222</v>
      </c>
      <c r="F99" s="154">
        <v>1</v>
      </c>
      <c r="G99" s="151">
        <f>830.35*1.25</f>
        <v>1037.94</v>
      </c>
      <c r="H99" s="180">
        <f t="shared" ref="H99:H106" si="19">F99*G99</f>
        <v>1037.94</v>
      </c>
      <c r="I99" s="134">
        <f t="shared" si="18"/>
        <v>10379.4</v>
      </c>
    </row>
    <row r="100" spans="1:16" ht="38.25" x14ac:dyDescent="0.2">
      <c r="A100" s="147" t="s">
        <v>109</v>
      </c>
      <c r="B100" s="147">
        <v>151801</v>
      </c>
      <c r="C100" s="147" t="s">
        <v>239</v>
      </c>
      <c r="D100" s="164" t="s">
        <v>223</v>
      </c>
      <c r="E100" s="149" t="s">
        <v>67</v>
      </c>
      <c r="F100" s="150">
        <v>5</v>
      </c>
      <c r="G100" s="151">
        <f>P100</f>
        <v>126.39</v>
      </c>
      <c r="H100" s="180">
        <f t="shared" si="19"/>
        <v>631.95000000000005</v>
      </c>
      <c r="I100" s="134">
        <f t="shared" si="18"/>
        <v>6319.5</v>
      </c>
      <c r="K100" s="80">
        <v>6.48</v>
      </c>
      <c r="L100" s="196">
        <v>0.28000000000000003</v>
      </c>
      <c r="M100">
        <v>140.43</v>
      </c>
      <c r="N100">
        <f>L100*M100</f>
        <v>39.320399999999999</v>
      </c>
      <c r="O100">
        <f>M100-N100</f>
        <v>101.1096</v>
      </c>
      <c r="P100">
        <f>O100*1.25</f>
        <v>126.387</v>
      </c>
    </row>
    <row r="101" spans="1:16" ht="38.25" x14ac:dyDescent="0.2">
      <c r="A101" s="147" t="s">
        <v>206</v>
      </c>
      <c r="B101" s="147">
        <v>151803</v>
      </c>
      <c r="C101" s="147" t="s">
        <v>239</v>
      </c>
      <c r="D101" s="164" t="s">
        <v>289</v>
      </c>
      <c r="E101" s="149" t="s">
        <v>67</v>
      </c>
      <c r="F101" s="150">
        <f>F92</f>
        <v>5</v>
      </c>
      <c r="G101" s="151">
        <f>P101</f>
        <v>129.29</v>
      </c>
      <c r="H101" s="180">
        <f t="shared" si="19"/>
        <v>646.45000000000005</v>
      </c>
      <c r="I101" s="134">
        <f t="shared" si="18"/>
        <v>6464.5</v>
      </c>
      <c r="K101" s="80">
        <v>10.17</v>
      </c>
      <c r="L101" s="196">
        <v>0.28000000000000003</v>
      </c>
      <c r="M101">
        <v>143.66</v>
      </c>
      <c r="N101">
        <f>L101*M101</f>
        <v>40.224800000000002</v>
      </c>
      <c r="O101">
        <f>M101-N101</f>
        <v>103.43519999999999</v>
      </c>
      <c r="P101">
        <f>O101*1.25</f>
        <v>129.29400000000001</v>
      </c>
    </row>
    <row r="102" spans="1:16" ht="38.25" x14ac:dyDescent="0.2">
      <c r="A102" s="147" t="s">
        <v>207</v>
      </c>
      <c r="B102" s="147">
        <v>151809</v>
      </c>
      <c r="C102" s="147" t="s">
        <v>239</v>
      </c>
      <c r="D102" s="164" t="s">
        <v>226</v>
      </c>
      <c r="E102" s="149" t="s">
        <v>67</v>
      </c>
      <c r="F102" s="150">
        <v>1</v>
      </c>
      <c r="G102" s="151">
        <f>P102</f>
        <v>113.41</v>
      </c>
      <c r="H102" s="180">
        <f t="shared" si="19"/>
        <v>113.41</v>
      </c>
      <c r="I102" s="134">
        <f t="shared" si="18"/>
        <v>1134.0999999999999</v>
      </c>
      <c r="K102" s="80"/>
      <c r="L102" s="196">
        <v>0.28000000000000003</v>
      </c>
      <c r="M102">
        <v>126.01</v>
      </c>
      <c r="N102">
        <f>L102*M102</f>
        <v>35.282800000000002</v>
      </c>
      <c r="O102">
        <f>M102-N102</f>
        <v>90.727199999999996</v>
      </c>
      <c r="P102">
        <f>O102*1.25</f>
        <v>113.40900000000001</v>
      </c>
    </row>
    <row r="103" spans="1:16" ht="51" x14ac:dyDescent="0.2">
      <c r="A103" s="147" t="s">
        <v>305</v>
      </c>
      <c r="B103" s="147">
        <v>151811</v>
      </c>
      <c r="C103" s="147" t="s">
        <v>239</v>
      </c>
      <c r="D103" s="164" t="s">
        <v>290</v>
      </c>
      <c r="E103" s="149" t="s">
        <v>67</v>
      </c>
      <c r="F103" s="150">
        <v>4</v>
      </c>
      <c r="G103" s="151">
        <f>P103</f>
        <v>135.11000000000001</v>
      </c>
      <c r="H103" s="180">
        <f t="shared" si="19"/>
        <v>540.44000000000005</v>
      </c>
      <c r="I103" s="134">
        <f t="shared" si="18"/>
        <v>5404.4</v>
      </c>
      <c r="K103" s="80">
        <v>1.4</v>
      </c>
      <c r="L103" s="196">
        <v>0.28000000000000003</v>
      </c>
      <c r="M103">
        <v>150.12</v>
      </c>
      <c r="N103">
        <f>L103*M103</f>
        <v>42.0336</v>
      </c>
      <c r="O103">
        <f>M103-N103</f>
        <v>108.0864</v>
      </c>
      <c r="P103">
        <f>O103*1.25</f>
        <v>135.108</v>
      </c>
    </row>
    <row r="104" spans="1:16" ht="38.25" x14ac:dyDescent="0.2">
      <c r="A104" s="147" t="s">
        <v>306</v>
      </c>
      <c r="B104" s="147">
        <v>151805</v>
      </c>
      <c r="C104" s="147" t="s">
        <v>239</v>
      </c>
      <c r="D104" s="164" t="s">
        <v>224</v>
      </c>
      <c r="E104" s="149" t="s">
        <v>67</v>
      </c>
      <c r="F104" s="150">
        <v>1</v>
      </c>
      <c r="G104" s="151">
        <f>P104</f>
        <v>301.45</v>
      </c>
      <c r="H104" s="180">
        <f t="shared" si="19"/>
        <v>301.45</v>
      </c>
      <c r="I104" s="134">
        <f t="shared" si="18"/>
        <v>3014.5</v>
      </c>
      <c r="K104" s="80">
        <v>1</v>
      </c>
      <c r="L104" s="196">
        <v>0.28000000000000003</v>
      </c>
      <c r="M104">
        <v>334.94</v>
      </c>
      <c r="N104">
        <f>L104*M104</f>
        <v>93.783199999999994</v>
      </c>
      <c r="O104">
        <f>M104-N104</f>
        <v>241.1568</v>
      </c>
      <c r="P104">
        <f>O104*1.25</f>
        <v>301.44600000000003</v>
      </c>
    </row>
    <row r="105" spans="1:16" ht="51.75" customHeight="1" x14ac:dyDescent="0.2">
      <c r="A105" s="147" t="s">
        <v>307</v>
      </c>
      <c r="B105" s="147" t="s">
        <v>292</v>
      </c>
      <c r="C105" s="147" t="s">
        <v>244</v>
      </c>
      <c r="D105" s="164" t="s">
        <v>291</v>
      </c>
      <c r="E105" s="149" t="s">
        <v>27</v>
      </c>
      <c r="F105" s="150">
        <f>3*3+1.8*3</f>
        <v>14.4</v>
      </c>
      <c r="G105" s="151">
        <f>7.8*1.25</f>
        <v>9.75</v>
      </c>
      <c r="H105" s="180">
        <f t="shared" si="19"/>
        <v>140.4</v>
      </c>
      <c r="I105" s="134">
        <f t="shared" si="18"/>
        <v>1404</v>
      </c>
      <c r="K105" s="125"/>
      <c r="L105" s="196"/>
    </row>
    <row r="106" spans="1:16" s="73" customFormat="1" ht="51" x14ac:dyDescent="0.2">
      <c r="A106" s="147" t="s">
        <v>308</v>
      </c>
      <c r="B106" s="147">
        <v>55866</v>
      </c>
      <c r="C106" s="147" t="s">
        <v>244</v>
      </c>
      <c r="D106" s="157" t="s">
        <v>293</v>
      </c>
      <c r="E106" s="147" t="s">
        <v>27</v>
      </c>
      <c r="F106" s="150">
        <f>3+1.8</f>
        <v>4.8</v>
      </c>
      <c r="G106" s="151">
        <f>21.85*1.25</f>
        <v>27.31</v>
      </c>
      <c r="H106" s="151">
        <f t="shared" si="19"/>
        <v>131.09</v>
      </c>
      <c r="I106" s="134">
        <f t="shared" si="18"/>
        <v>1310.9</v>
      </c>
    </row>
    <row r="107" spans="1:16" x14ac:dyDescent="0.2">
      <c r="A107" s="166" t="s">
        <v>111</v>
      </c>
      <c r="B107" s="166"/>
      <c r="C107" s="166"/>
      <c r="D107" s="167" t="s">
        <v>376</v>
      </c>
      <c r="E107" s="172"/>
      <c r="F107" s="173"/>
      <c r="G107" s="172" t="s">
        <v>233</v>
      </c>
      <c r="H107" s="181">
        <f>H108+H109</f>
        <v>2396.19</v>
      </c>
      <c r="I107" s="134"/>
    </row>
    <row r="108" spans="1:16" ht="38.25" x14ac:dyDescent="0.2">
      <c r="A108" s="147" t="s">
        <v>113</v>
      </c>
      <c r="B108" s="147">
        <v>190106</v>
      </c>
      <c r="C108" s="147" t="s">
        <v>239</v>
      </c>
      <c r="D108" s="148" t="s">
        <v>368</v>
      </c>
      <c r="E108" s="149" t="s">
        <v>114</v>
      </c>
      <c r="F108" s="150">
        <f>F32+2.28</f>
        <v>109.52</v>
      </c>
      <c r="G108" s="151">
        <f>P108</f>
        <v>17.690000000000001</v>
      </c>
      <c r="H108" s="180">
        <f>F108*G108</f>
        <v>1937.41</v>
      </c>
      <c r="I108" s="134">
        <f t="shared" si="18"/>
        <v>19374.099999999999</v>
      </c>
      <c r="K108" s="80">
        <v>5.37</v>
      </c>
      <c r="L108" s="196">
        <v>0.28000000000000003</v>
      </c>
      <c r="M108">
        <v>19.66</v>
      </c>
      <c r="N108">
        <f>L108*M108</f>
        <v>5.5048000000000004</v>
      </c>
      <c r="O108">
        <f>M108-N108</f>
        <v>14.155200000000001</v>
      </c>
      <c r="P108">
        <f>O108*1.25</f>
        <v>17.693999999999999</v>
      </c>
    </row>
    <row r="109" spans="1:16" ht="25.5" x14ac:dyDescent="0.2">
      <c r="A109" s="147" t="s">
        <v>309</v>
      </c>
      <c r="B109" s="147">
        <v>190302</v>
      </c>
      <c r="C109" s="147" t="s">
        <v>239</v>
      </c>
      <c r="D109" s="148" t="s">
        <v>248</v>
      </c>
      <c r="E109" s="149" t="s">
        <v>114</v>
      </c>
      <c r="F109" s="150">
        <f>0.8*2.1*4*2+0.7*2.1*2+0.15*2.1*2*5+0.8*4+0.7*1+0.05*2.1*4*5+0.8*0.05*2*4+0.7*0.05*2</f>
        <v>25.92</v>
      </c>
      <c r="G109" s="151">
        <f>P109</f>
        <v>17.7</v>
      </c>
      <c r="H109" s="180">
        <f>F109*G109</f>
        <v>458.78</v>
      </c>
      <c r="I109" s="134">
        <f t="shared" si="18"/>
        <v>4587.8</v>
      </c>
      <c r="K109" s="80">
        <v>7.17</v>
      </c>
      <c r="L109" s="196">
        <v>0.28000000000000003</v>
      </c>
      <c r="M109">
        <v>19.670000000000002</v>
      </c>
      <c r="N109">
        <f>L109*M109</f>
        <v>5.5076000000000001</v>
      </c>
      <c r="O109">
        <f>M109-N109</f>
        <v>14.1624</v>
      </c>
      <c r="P109">
        <f>O109*1.25</f>
        <v>17.702999999999999</v>
      </c>
    </row>
    <row r="110" spans="1:16" s="73" customFormat="1" x14ac:dyDescent="0.2">
      <c r="A110" s="147"/>
      <c r="B110" s="147"/>
      <c r="C110" s="147"/>
      <c r="D110" s="157"/>
      <c r="E110" s="147"/>
      <c r="F110" s="150"/>
      <c r="G110" s="151"/>
      <c r="H110" s="151"/>
      <c r="I110" s="134"/>
    </row>
    <row r="111" spans="1:16" x14ac:dyDescent="0.2">
      <c r="A111" s="166" t="s">
        <v>203</v>
      </c>
      <c r="B111" s="166"/>
      <c r="C111" s="166"/>
      <c r="D111" s="167" t="s">
        <v>115</v>
      </c>
      <c r="E111" s="172"/>
      <c r="F111" s="173"/>
      <c r="G111" s="172" t="s">
        <v>233</v>
      </c>
      <c r="H111" s="181">
        <f>SUM(H112)</f>
        <v>301.45</v>
      </c>
      <c r="I111" s="134"/>
    </row>
    <row r="112" spans="1:16" x14ac:dyDescent="0.2">
      <c r="A112" s="147" t="s">
        <v>208</v>
      </c>
      <c r="B112" s="147">
        <v>200401</v>
      </c>
      <c r="C112" s="147" t="s">
        <v>239</v>
      </c>
      <c r="D112" s="148" t="s">
        <v>116</v>
      </c>
      <c r="E112" s="149" t="s">
        <v>114</v>
      </c>
      <c r="F112" s="150">
        <v>39.200000000000003</v>
      </c>
      <c r="G112" s="151">
        <f>P112</f>
        <v>7.69</v>
      </c>
      <c r="H112" s="180">
        <f>F112*G112</f>
        <v>301.45</v>
      </c>
      <c r="I112" s="134">
        <f t="shared" si="18"/>
        <v>3014.5</v>
      </c>
      <c r="K112" s="80">
        <v>2.2200000000000002</v>
      </c>
      <c r="L112" s="196">
        <v>0.28000000000000003</v>
      </c>
      <c r="M112">
        <v>8.5399999999999991</v>
      </c>
      <c r="N112">
        <f>L112*M112</f>
        <v>2.3912</v>
      </c>
      <c r="O112">
        <f>M112-N112</f>
        <v>6.1487999999999996</v>
      </c>
      <c r="P112">
        <f>O112*1.25</f>
        <v>7.6859999999999999</v>
      </c>
    </row>
    <row r="113" spans="1:9" s="73" customFormat="1" ht="13.5" thickBot="1" x14ac:dyDescent="0.25">
      <c r="A113" s="147"/>
      <c r="B113" s="147"/>
      <c r="C113" s="147"/>
      <c r="D113" s="157"/>
      <c r="E113" s="147"/>
      <c r="F113" s="150"/>
      <c r="G113" s="151"/>
      <c r="H113" s="151"/>
      <c r="I113" s="134"/>
    </row>
    <row r="114" spans="1:9" ht="13.5" thickBot="1" x14ac:dyDescent="0.25">
      <c r="A114" s="169"/>
      <c r="B114" s="169"/>
      <c r="C114" s="169"/>
      <c r="D114" s="170" t="s">
        <v>369</v>
      </c>
      <c r="E114" s="171"/>
      <c r="F114" s="171"/>
      <c r="G114" s="168"/>
      <c r="H114" s="182">
        <f>H111+H107+H98+H90+H81+H62+H53+H50+H36+H25+H14+H11</f>
        <v>56778.63</v>
      </c>
      <c r="I114" s="135"/>
    </row>
    <row r="115" spans="1:9" x14ac:dyDescent="0.2">
      <c r="A115" s="145"/>
      <c r="B115" s="145"/>
      <c r="C115" s="145"/>
      <c r="D115" s="165"/>
      <c r="E115" s="146"/>
      <c r="F115" s="146"/>
      <c r="G115" s="153"/>
      <c r="H115" s="178"/>
      <c r="I115" s="142"/>
    </row>
    <row r="116" spans="1:9" x14ac:dyDescent="0.2">
      <c r="A116" s="21"/>
      <c r="B116" s="21"/>
      <c r="C116" s="21"/>
      <c r="D116" s="22"/>
      <c r="E116" s="21"/>
      <c r="F116" s="21"/>
      <c r="G116" s="21"/>
      <c r="H116" s="21"/>
      <c r="I116" s="23"/>
    </row>
    <row r="117" spans="1:9" x14ac:dyDescent="0.2">
      <c r="A117" s="21"/>
      <c r="B117" s="21"/>
      <c r="C117" s="21"/>
      <c r="D117" s="21"/>
      <c r="E117" s="21"/>
      <c r="F117" s="21"/>
      <c r="G117" s="21"/>
      <c r="H117" s="21"/>
      <c r="I117" s="23"/>
    </row>
    <row r="118" spans="1:9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x14ac:dyDescent="0.2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x14ac:dyDescent="0.2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x14ac:dyDescent="0.2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x14ac:dyDescent="0.2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x14ac:dyDescent="0.2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x14ac:dyDescent="0.2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x14ac:dyDescent="0.2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x14ac:dyDescent="0.2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x14ac:dyDescent="0.2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x14ac:dyDescent="0.2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x14ac:dyDescent="0.2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x14ac:dyDescent="0.2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x14ac:dyDescent="0.2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x14ac:dyDescent="0.2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x14ac:dyDescent="0.2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x14ac:dyDescent="0.2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x14ac:dyDescent="0.2">
      <c r="A168" s="21"/>
      <c r="B168" s="21"/>
      <c r="C168" s="21"/>
      <c r="D168" s="21"/>
      <c r="E168" s="21"/>
      <c r="F168" s="21"/>
      <c r="G168" s="21"/>
      <c r="H168" s="21"/>
      <c r="I168" s="21"/>
    </row>
  </sheetData>
  <mergeCells count="13">
    <mergeCell ref="G36:G37"/>
    <mergeCell ref="H36:H37"/>
    <mergeCell ref="A8:A9"/>
    <mergeCell ref="D8:D9"/>
    <mergeCell ref="E8:E9"/>
    <mergeCell ref="F8:F9"/>
    <mergeCell ref="B8:B9"/>
    <mergeCell ref="C8:C9"/>
    <mergeCell ref="A3:H3"/>
    <mergeCell ref="A4:H4"/>
    <mergeCell ref="A1:H2"/>
    <mergeCell ref="I8:I9"/>
    <mergeCell ref="A5:H5"/>
  </mergeCells>
  <phoneticPr fontId="17" type="noConversion"/>
  <printOptions horizontalCentered="1"/>
  <pageMargins left="0.65" right="0.59055118110236227" top="1.84" bottom="0.59055118110236227" header="0.47244094488188981" footer="0.31496062992125984"/>
  <pageSetup paperSize="9" scale="64" orientation="portrait" horizontalDpi="4294967295" verticalDpi="300" r:id="rId1"/>
  <headerFooter alignWithMargins="0">
    <oddFooter>&amp;L&amp;8   &amp;C&amp;8&amp;P/&amp;N&amp;R  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L97"/>
  <sheetViews>
    <sheetView view="pageBreakPreview" zoomScaleSheetLayoutView="100" workbookViewId="0">
      <selection activeCell="R8" sqref="R8"/>
    </sheetView>
  </sheetViews>
  <sheetFormatPr defaultColWidth="9.140625" defaultRowHeight="15" x14ac:dyDescent="0.25"/>
  <cols>
    <col min="1" max="1" width="9.28515625" style="323" customWidth="1"/>
    <col min="2" max="2" width="39.5703125" style="323" customWidth="1"/>
    <col min="3" max="3" width="14.7109375" style="372" customWidth="1"/>
    <col min="4" max="4" width="8.7109375" style="373" customWidth="1"/>
    <col min="5" max="6" width="11.28515625" style="373" bestFit="1" customWidth="1"/>
    <col min="7" max="8" width="12.28515625" style="323" customWidth="1"/>
    <col min="9" max="17" width="13.28515625" style="323" customWidth="1"/>
    <col min="18" max="18" width="12.85546875" style="323" bestFit="1" customWidth="1"/>
    <col min="19" max="19" width="11.7109375" style="323" customWidth="1"/>
    <col min="20" max="1026" width="9.140625" style="323"/>
    <col min="1027" max="16384" width="9.140625" style="374"/>
  </cols>
  <sheetData>
    <row r="1" spans="1:21" ht="66.75" customHeight="1" x14ac:dyDescent="0.4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</row>
    <row r="2" spans="1:21" ht="15.75" x14ac:dyDescent="0.25">
      <c r="A2" s="611" t="s">
        <v>901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</row>
    <row r="3" spans="1:21" x14ac:dyDescent="0.25">
      <c r="A3" s="324" t="s">
        <v>907</v>
      </c>
      <c r="B3" s="325"/>
      <c r="C3" s="326"/>
      <c r="D3" s="327"/>
      <c r="E3" s="327"/>
      <c r="F3" s="327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8"/>
    </row>
    <row r="4" spans="1:21" x14ac:dyDescent="0.25">
      <c r="A4" s="612" t="s">
        <v>902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</row>
    <row r="5" spans="1:21" ht="5.0999999999999996" customHeight="1" x14ac:dyDescent="0.25">
      <c r="A5" s="329"/>
      <c r="B5" s="330"/>
      <c r="C5" s="331"/>
      <c r="D5" s="332"/>
      <c r="E5" s="332"/>
      <c r="F5" s="332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3"/>
    </row>
    <row r="6" spans="1:21" x14ac:dyDescent="0.25">
      <c r="A6" s="613" t="s">
        <v>312</v>
      </c>
      <c r="B6" s="613" t="s">
        <v>313</v>
      </c>
      <c r="C6" s="614" t="s">
        <v>314</v>
      </c>
      <c r="D6" s="614"/>
      <c r="E6" s="470"/>
      <c r="F6" s="470"/>
      <c r="G6" s="613" t="s">
        <v>903</v>
      </c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</row>
    <row r="7" spans="1:21" x14ac:dyDescent="0.25">
      <c r="A7" s="613"/>
      <c r="B7" s="613"/>
      <c r="C7" s="334" t="s">
        <v>316</v>
      </c>
      <c r="D7" s="335" t="s">
        <v>317</v>
      </c>
      <c r="E7" s="336" t="s">
        <v>318</v>
      </c>
      <c r="F7" s="336" t="s">
        <v>319</v>
      </c>
      <c r="G7" s="336" t="s">
        <v>320</v>
      </c>
      <c r="H7" s="336" t="s">
        <v>321</v>
      </c>
      <c r="I7" s="336" t="s">
        <v>992</v>
      </c>
      <c r="J7" s="336" t="s">
        <v>993</v>
      </c>
      <c r="K7" s="336" t="s">
        <v>994</v>
      </c>
      <c r="L7" s="336" t="s">
        <v>995</v>
      </c>
      <c r="M7" s="336" t="s">
        <v>996</v>
      </c>
      <c r="N7" s="336" t="s">
        <v>997</v>
      </c>
      <c r="O7" s="336" t="s">
        <v>998</v>
      </c>
      <c r="P7" s="336" t="s">
        <v>999</v>
      </c>
      <c r="Q7" s="336" t="s">
        <v>1000</v>
      </c>
      <c r="R7" s="336" t="s">
        <v>1001</v>
      </c>
    </row>
    <row r="8" spans="1:21" ht="5.0999999999999996" customHeight="1" x14ac:dyDescent="0.25">
      <c r="A8" s="337"/>
      <c r="B8" s="338"/>
      <c r="C8" s="339"/>
      <c r="D8" s="340"/>
      <c r="E8" s="340"/>
      <c r="F8" s="340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2"/>
    </row>
    <row r="9" spans="1:21" ht="15" customHeight="1" x14ac:dyDescent="0.25">
      <c r="A9" s="605" t="str">
        <f>'[1]PLANILHA ORÇAMENTÁRIA'!A8</f>
        <v>SERVIÇOS COMUNS À TODAS AS UNIDADES HABITACIONAIS</v>
      </c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</row>
    <row r="10" spans="1:21" ht="5.0999999999999996" customHeight="1" x14ac:dyDescent="0.25">
      <c r="A10" s="343"/>
      <c r="B10" s="344"/>
      <c r="C10" s="345"/>
      <c r="D10" s="346"/>
      <c r="E10" s="346"/>
      <c r="F10" s="346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7"/>
    </row>
    <row r="11" spans="1:21" x14ac:dyDescent="0.25">
      <c r="A11" s="348">
        <v>1</v>
      </c>
      <c r="B11" s="349" t="str">
        <f>'[1]PLANILHA ORÇAMENTÁRIA'!D9</f>
        <v>INSTALAÇÃO DO CANTEIRO DE OBRAS</v>
      </c>
      <c r="C11" s="350">
        <f>'Planilha Orçamentária'!I18</f>
        <v>0</v>
      </c>
      <c r="D11" s="351" t="e">
        <f>C11/$C$93</f>
        <v>#DIV/0!</v>
      </c>
      <c r="E11" s="351"/>
      <c r="F11" s="351"/>
      <c r="G11" s="352">
        <f>G12*$C$11</f>
        <v>0</v>
      </c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3">
        <f>SUM(G11:R11)</f>
        <v>0</v>
      </c>
    </row>
    <row r="12" spans="1:21" x14ac:dyDescent="0.25">
      <c r="A12" s="348"/>
      <c r="B12" s="349"/>
      <c r="C12" s="350"/>
      <c r="D12" s="351"/>
      <c r="E12" s="351"/>
      <c r="F12" s="351"/>
      <c r="G12" s="354">
        <v>1</v>
      </c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6">
        <f>SUM(G12:R12)</f>
        <v>1</v>
      </c>
    </row>
    <row r="13" spans="1:21" ht="5.0999999999999996" customHeight="1" x14ac:dyDescent="0.25">
      <c r="A13" s="348"/>
      <c r="B13" s="349"/>
      <c r="C13" s="350"/>
      <c r="D13" s="351"/>
      <c r="E13" s="351"/>
      <c r="F13" s="351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6"/>
    </row>
    <row r="14" spans="1:21" ht="15" customHeight="1" x14ac:dyDescent="0.25">
      <c r="A14" s="606" t="s">
        <v>908</v>
      </c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8"/>
      <c r="S14" s="356"/>
    </row>
    <row r="15" spans="1:21" ht="5.0999999999999996" customHeight="1" x14ac:dyDescent="0.25">
      <c r="A15" s="348"/>
      <c r="B15" s="349"/>
      <c r="C15" s="350"/>
      <c r="D15" s="351"/>
      <c r="E15" s="351"/>
      <c r="F15" s="351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6"/>
    </row>
    <row r="16" spans="1:21" x14ac:dyDescent="0.25">
      <c r="A16" s="348">
        <v>2</v>
      </c>
      <c r="B16" s="349" t="str">
        <f>'[1]PLANILHA ORÇAMENTÁRIA'!D20</f>
        <v>SERVIÇOS PRELIMINARES</v>
      </c>
      <c r="C16" s="350">
        <f>('Planilha Orçamentária'!I23)*29</f>
        <v>0</v>
      </c>
      <c r="D16" s="351" t="e">
        <f>C16/$C$93</f>
        <v>#DIV/0!</v>
      </c>
      <c r="E16" s="351"/>
      <c r="F16" s="351"/>
      <c r="G16" s="352">
        <f>G17*$C$16</f>
        <v>0</v>
      </c>
      <c r="H16" s="352">
        <f>H17*$C$16</f>
        <v>0</v>
      </c>
      <c r="I16" s="352">
        <f>I17*$C$16</f>
        <v>0</v>
      </c>
      <c r="J16" s="352"/>
      <c r="K16" s="352"/>
      <c r="L16" s="352"/>
      <c r="M16" s="352"/>
      <c r="N16" s="352"/>
      <c r="O16" s="352"/>
      <c r="P16" s="352"/>
      <c r="Q16" s="352"/>
      <c r="R16" s="352"/>
      <c r="S16" s="353">
        <f t="shared" ref="S16:S51" si="0">SUM(G16:R16)</f>
        <v>0</v>
      </c>
      <c r="U16" s="353">
        <f>'Planilha Orçamentária'!I23*29</f>
        <v>0</v>
      </c>
    </row>
    <row r="17" spans="1:21" x14ac:dyDescent="0.25">
      <c r="A17" s="348"/>
      <c r="B17" s="349"/>
      <c r="C17" s="350"/>
      <c r="D17" s="351"/>
      <c r="E17" s="351"/>
      <c r="F17" s="351"/>
      <c r="G17" s="354">
        <v>0.25</v>
      </c>
      <c r="H17" s="354">
        <v>0.3</v>
      </c>
      <c r="I17" s="357">
        <v>0.45</v>
      </c>
      <c r="J17" s="355"/>
      <c r="K17" s="355"/>
      <c r="L17" s="355"/>
      <c r="M17" s="355"/>
      <c r="N17" s="355"/>
      <c r="O17" s="355"/>
      <c r="P17" s="355"/>
      <c r="Q17" s="355"/>
      <c r="R17" s="355"/>
      <c r="S17" s="356">
        <f t="shared" si="0"/>
        <v>1</v>
      </c>
    </row>
    <row r="18" spans="1:21" x14ac:dyDescent="0.25">
      <c r="A18" s="348">
        <v>3</v>
      </c>
      <c r="B18" s="349" t="str">
        <f>'[1]PLANILHA ORÇAMENTÁRIA'!D24</f>
        <v>MOVIMENTO DE TERRA</v>
      </c>
      <c r="C18" s="350">
        <f>('Planilha Orçamentária'!I31)*29</f>
        <v>0</v>
      </c>
      <c r="D18" s="351" t="e">
        <f>C18/$C$93</f>
        <v>#DIV/0!</v>
      </c>
      <c r="E18" s="351"/>
      <c r="F18" s="351"/>
      <c r="G18" s="352">
        <f>G19*$C$18</f>
        <v>0</v>
      </c>
      <c r="H18" s="352">
        <f>H19*$C$18</f>
        <v>0</v>
      </c>
      <c r="I18" s="352">
        <f>I19*$C$18</f>
        <v>0</v>
      </c>
      <c r="J18" s="352">
        <f>J19*$C$18</f>
        <v>0</v>
      </c>
      <c r="K18" s="352"/>
      <c r="L18" s="352"/>
      <c r="M18" s="352"/>
      <c r="N18" s="352"/>
      <c r="O18" s="352"/>
      <c r="P18" s="352"/>
      <c r="Q18" s="352"/>
      <c r="R18" s="352"/>
      <c r="S18" s="353">
        <f t="shared" si="0"/>
        <v>0</v>
      </c>
      <c r="U18" s="353">
        <f>'Planilha Orçamentária'!I31*29</f>
        <v>0</v>
      </c>
    </row>
    <row r="19" spans="1:21" x14ac:dyDescent="0.25">
      <c r="A19" s="348"/>
      <c r="B19" s="349"/>
      <c r="C19" s="350"/>
      <c r="D19" s="351"/>
      <c r="E19" s="351"/>
      <c r="F19" s="351"/>
      <c r="G19" s="357">
        <v>0.05</v>
      </c>
      <c r="H19" s="354">
        <v>0.3</v>
      </c>
      <c r="I19" s="354">
        <v>0.25</v>
      </c>
      <c r="J19" s="354">
        <v>0.4</v>
      </c>
      <c r="K19" s="355"/>
      <c r="L19" s="355"/>
      <c r="M19" s="355"/>
      <c r="N19" s="355"/>
      <c r="O19" s="355"/>
      <c r="P19" s="355"/>
      <c r="Q19" s="355"/>
      <c r="R19" s="355"/>
      <c r="S19" s="356">
        <f t="shared" si="0"/>
        <v>1</v>
      </c>
    </row>
    <row r="20" spans="1:21" x14ac:dyDescent="0.25">
      <c r="A20" s="348">
        <v>4</v>
      </c>
      <c r="B20" s="349" t="str">
        <f>'[1]PLANILHA ORÇAMENTÁRIA'!D32</f>
        <v>ESTRUTURAS</v>
      </c>
      <c r="C20" s="350">
        <f>('Planilha Orçamentária'!I46)*29</f>
        <v>0</v>
      </c>
      <c r="D20" s="351" t="e">
        <f>C20/$C$93</f>
        <v>#DIV/0!</v>
      </c>
      <c r="E20" s="351"/>
      <c r="F20" s="351"/>
      <c r="G20" s="352"/>
      <c r="H20" s="352">
        <f>H21*$C$20</f>
        <v>0</v>
      </c>
      <c r="I20" s="352">
        <f>I21*$C$20</f>
        <v>0</v>
      </c>
      <c r="J20" s="352">
        <f>J21*$C$20</f>
        <v>0</v>
      </c>
      <c r="K20" s="352">
        <f>K21*$C$20</f>
        <v>0</v>
      </c>
      <c r="L20" s="352">
        <f>L21*$C$20</f>
        <v>0</v>
      </c>
      <c r="M20" s="352"/>
      <c r="N20" s="352"/>
      <c r="O20" s="352"/>
      <c r="P20" s="352"/>
      <c r="Q20" s="352"/>
      <c r="R20" s="352"/>
      <c r="S20" s="353">
        <f t="shared" si="0"/>
        <v>0</v>
      </c>
    </row>
    <row r="21" spans="1:21" x14ac:dyDescent="0.25">
      <c r="A21" s="348"/>
      <c r="B21" s="349"/>
      <c r="C21" s="350"/>
      <c r="D21" s="351"/>
      <c r="E21" s="351"/>
      <c r="F21" s="351"/>
      <c r="G21" s="355"/>
      <c r="H21" s="354">
        <v>0.05</v>
      </c>
      <c r="I21" s="354">
        <v>0.15</v>
      </c>
      <c r="J21" s="354">
        <v>0.2</v>
      </c>
      <c r="K21" s="354">
        <v>0.3</v>
      </c>
      <c r="L21" s="354">
        <v>0.3</v>
      </c>
      <c r="M21" s="355"/>
      <c r="N21" s="355"/>
      <c r="O21" s="355"/>
      <c r="P21" s="355"/>
      <c r="Q21" s="355"/>
      <c r="R21" s="355"/>
      <c r="S21" s="356">
        <f t="shared" si="0"/>
        <v>1</v>
      </c>
    </row>
    <row r="22" spans="1:21" x14ac:dyDescent="0.25">
      <c r="A22" s="348">
        <v>5</v>
      </c>
      <c r="B22" s="349" t="str">
        <f>'[1]PLANILHA ORÇAMENTÁRIA'!D47</f>
        <v>PAREDES E PAINÉIS</v>
      </c>
      <c r="C22" s="350">
        <f>('Planilha Orçamentária'!I51)*29</f>
        <v>0</v>
      </c>
      <c r="D22" s="351" t="e">
        <f>C22/$C$93</f>
        <v>#DIV/0!</v>
      </c>
      <c r="E22" s="351"/>
      <c r="F22" s="351"/>
      <c r="G22" s="352"/>
      <c r="H22" s="352"/>
      <c r="I22" s="352">
        <f>I23*$C$22</f>
        <v>0</v>
      </c>
      <c r="J22" s="352">
        <f>J23*$C$22</f>
        <v>0</v>
      </c>
      <c r="K22" s="352">
        <f>K23*$C$22</f>
        <v>0</v>
      </c>
      <c r="L22" s="352">
        <f>L23*$C$22</f>
        <v>0</v>
      </c>
      <c r="M22" s="352">
        <f>M23*$C$22</f>
        <v>0</v>
      </c>
      <c r="N22" s="352"/>
      <c r="O22" s="352"/>
      <c r="P22" s="352"/>
      <c r="Q22" s="352"/>
      <c r="R22" s="352"/>
      <c r="S22" s="353">
        <f t="shared" si="0"/>
        <v>0</v>
      </c>
    </row>
    <row r="23" spans="1:21" x14ac:dyDescent="0.25">
      <c r="A23" s="348"/>
      <c r="B23" s="349"/>
      <c r="C23" s="350"/>
      <c r="D23" s="351"/>
      <c r="E23" s="351"/>
      <c r="F23" s="351"/>
      <c r="G23" s="355"/>
      <c r="H23" s="355"/>
      <c r="I23" s="354">
        <v>0.05</v>
      </c>
      <c r="J23" s="354">
        <v>0.15</v>
      </c>
      <c r="K23" s="354">
        <v>0.2</v>
      </c>
      <c r="L23" s="354">
        <v>0.3</v>
      </c>
      <c r="M23" s="354">
        <v>0.3</v>
      </c>
      <c r="N23" s="355"/>
      <c r="O23" s="355"/>
      <c r="P23" s="355"/>
      <c r="Q23" s="355"/>
      <c r="R23" s="355"/>
      <c r="S23" s="356">
        <f t="shared" si="0"/>
        <v>1</v>
      </c>
    </row>
    <row r="24" spans="1:21" x14ac:dyDescent="0.25">
      <c r="A24" s="348">
        <v>6</v>
      </c>
      <c r="B24" s="349" t="str">
        <f>'[1]PLANILHA ORÇAMENTÁRIA'!D52</f>
        <v>TETOS E FORROS</v>
      </c>
      <c r="C24" s="350">
        <f>('Planilha Orçamentária'!I56)*29</f>
        <v>0</v>
      </c>
      <c r="D24" s="351" t="e">
        <f>C24/$C$93</f>
        <v>#DIV/0!</v>
      </c>
      <c r="E24" s="351"/>
      <c r="F24" s="351"/>
      <c r="G24" s="352"/>
      <c r="H24" s="352"/>
      <c r="I24" s="352"/>
      <c r="J24" s="352"/>
      <c r="K24" s="352"/>
      <c r="L24" s="352">
        <f>L25*$C$24</f>
        <v>0</v>
      </c>
      <c r="M24" s="352">
        <f>M25*$C$24</f>
        <v>0</v>
      </c>
      <c r="N24" s="352">
        <f>N25*$C$24</f>
        <v>0</v>
      </c>
      <c r="O24" s="352"/>
      <c r="P24" s="352"/>
      <c r="Q24" s="352"/>
      <c r="R24" s="352"/>
      <c r="S24" s="353">
        <f t="shared" si="0"/>
        <v>0</v>
      </c>
    </row>
    <row r="25" spans="1:21" x14ac:dyDescent="0.25">
      <c r="A25" s="348"/>
      <c r="B25" s="349"/>
      <c r="C25" s="350"/>
      <c r="D25" s="351"/>
      <c r="E25" s="351"/>
      <c r="F25" s="351"/>
      <c r="G25" s="355"/>
      <c r="H25" s="355"/>
      <c r="I25" s="355"/>
      <c r="J25" s="355"/>
      <c r="K25" s="355"/>
      <c r="L25" s="354">
        <v>0.4</v>
      </c>
      <c r="M25" s="354">
        <v>0.3</v>
      </c>
      <c r="N25" s="354">
        <v>0.3</v>
      </c>
      <c r="O25" s="355"/>
      <c r="P25" s="355"/>
      <c r="Q25" s="355"/>
      <c r="R25" s="355"/>
      <c r="S25" s="356">
        <f t="shared" si="0"/>
        <v>1</v>
      </c>
    </row>
    <row r="26" spans="1:21" x14ac:dyDescent="0.25">
      <c r="A26" s="348">
        <v>7</v>
      </c>
      <c r="B26" s="349" t="str">
        <f>'[1]PLANILHA ORÇAMENTÁRIA'!D57</f>
        <v>REVESTIMENTO DE PAREDES</v>
      </c>
      <c r="C26" s="350">
        <f>('Planilha Orçamentária'!I64)*29</f>
        <v>0</v>
      </c>
      <c r="D26" s="351" t="e">
        <f>C26/$C$93</f>
        <v>#DIV/0!</v>
      </c>
      <c r="E26" s="351"/>
      <c r="F26" s="351"/>
      <c r="G26" s="352"/>
      <c r="H26" s="352"/>
      <c r="I26" s="352"/>
      <c r="J26" s="352"/>
      <c r="K26" s="352"/>
      <c r="L26" s="352">
        <f>L27*$C$26</f>
        <v>0</v>
      </c>
      <c r="M26" s="352">
        <f>M27*$C$26</f>
        <v>0</v>
      </c>
      <c r="N26" s="352">
        <f>N27*$C$26</f>
        <v>0</v>
      </c>
      <c r="O26" s="352"/>
      <c r="P26" s="352"/>
      <c r="Q26" s="352"/>
      <c r="R26" s="352"/>
      <c r="S26" s="353">
        <f t="shared" si="0"/>
        <v>0</v>
      </c>
    </row>
    <row r="27" spans="1:21" x14ac:dyDescent="0.25">
      <c r="A27" s="348"/>
      <c r="B27" s="349"/>
      <c r="C27" s="350"/>
      <c r="D27" s="351"/>
      <c r="E27" s="351"/>
      <c r="F27" s="351"/>
      <c r="G27" s="355"/>
      <c r="H27" s="355"/>
      <c r="I27" s="355"/>
      <c r="J27" s="355"/>
      <c r="K27" s="355"/>
      <c r="L27" s="354">
        <v>0.4</v>
      </c>
      <c r="M27" s="354">
        <v>0.3</v>
      </c>
      <c r="N27" s="354">
        <v>0.3</v>
      </c>
      <c r="O27" s="355"/>
      <c r="P27" s="355"/>
      <c r="Q27" s="355"/>
      <c r="R27" s="355"/>
      <c r="S27" s="356">
        <f t="shared" si="0"/>
        <v>1</v>
      </c>
    </row>
    <row r="28" spans="1:21" x14ac:dyDescent="0.25">
      <c r="A28" s="348">
        <v>8</v>
      </c>
      <c r="B28" s="349" t="str">
        <f>'[1]PLANILHA ORÇAMENTÁRIA'!D65</f>
        <v>ESQUADRIAS DE MADEIRA</v>
      </c>
      <c r="C28" s="350">
        <f>('Planilha Orçamentária'!I78)*29</f>
        <v>0</v>
      </c>
      <c r="D28" s="351" t="e">
        <f>C28/$C$93</f>
        <v>#DIV/0!</v>
      </c>
      <c r="E28" s="351"/>
      <c r="F28" s="351"/>
      <c r="G28" s="352"/>
      <c r="H28" s="352"/>
      <c r="I28" s="352"/>
      <c r="J28" s="352"/>
      <c r="K28" s="352"/>
      <c r="L28" s="352">
        <f>L29*$C$28</f>
        <v>0</v>
      </c>
      <c r="M28" s="352">
        <f>M29*$C$28</f>
        <v>0</v>
      </c>
      <c r="N28" s="352">
        <f>N29*$C$28</f>
        <v>0</v>
      </c>
      <c r="O28" s="352">
        <f>O29*$C$28</f>
        <v>0</v>
      </c>
      <c r="P28" s="352"/>
      <c r="Q28" s="352"/>
      <c r="R28" s="352"/>
      <c r="S28" s="353">
        <f t="shared" si="0"/>
        <v>0</v>
      </c>
    </row>
    <row r="29" spans="1:21" x14ac:dyDescent="0.25">
      <c r="A29" s="348"/>
      <c r="B29" s="349"/>
      <c r="C29" s="350"/>
      <c r="D29" s="351"/>
      <c r="E29" s="351"/>
      <c r="F29" s="351"/>
      <c r="G29" s="355"/>
      <c r="H29" s="355"/>
      <c r="I29" s="355"/>
      <c r="J29" s="355"/>
      <c r="K29" s="355"/>
      <c r="L29" s="355"/>
      <c r="M29" s="354">
        <v>0.4</v>
      </c>
      <c r="N29" s="354">
        <v>0.3</v>
      </c>
      <c r="O29" s="354">
        <v>0.3</v>
      </c>
      <c r="P29" s="355"/>
      <c r="Q29" s="355"/>
      <c r="R29" s="355"/>
      <c r="S29" s="356">
        <f t="shared" si="0"/>
        <v>1</v>
      </c>
    </row>
    <row r="30" spans="1:21" x14ac:dyDescent="0.25">
      <c r="A30" s="348">
        <v>9</v>
      </c>
      <c r="B30" s="349" t="str">
        <f>'[1]PLANILHA ORÇAMENTÁRIA'!D79</f>
        <v>ESQUADRIAS METÁLICAS</v>
      </c>
      <c r="C30" s="350">
        <f>('Planilha Orçamentária'!I85)*29</f>
        <v>0</v>
      </c>
      <c r="D30" s="351" t="e">
        <f>C30/$C$93</f>
        <v>#DIV/0!</v>
      </c>
      <c r="E30" s="351"/>
      <c r="F30" s="351"/>
      <c r="G30" s="352"/>
      <c r="H30" s="352"/>
      <c r="I30" s="352"/>
      <c r="J30" s="352"/>
      <c r="K30" s="352"/>
      <c r="L30" s="352"/>
      <c r="M30" s="352">
        <f>M31*$C$30</f>
        <v>0</v>
      </c>
      <c r="N30" s="352">
        <f>N31*$C$30</f>
        <v>0</v>
      </c>
      <c r="O30" s="352">
        <f>O31*$C$30</f>
        <v>0</v>
      </c>
      <c r="P30" s="352"/>
      <c r="Q30" s="352"/>
      <c r="R30" s="352"/>
      <c r="S30" s="353">
        <f t="shared" si="0"/>
        <v>0</v>
      </c>
    </row>
    <row r="31" spans="1:21" x14ac:dyDescent="0.25">
      <c r="A31" s="348"/>
      <c r="B31" s="349"/>
      <c r="C31" s="350"/>
      <c r="D31" s="351"/>
      <c r="E31" s="351"/>
      <c r="F31" s="351"/>
      <c r="G31" s="355"/>
      <c r="H31" s="355"/>
      <c r="I31" s="355"/>
      <c r="J31" s="355"/>
      <c r="K31" s="355"/>
      <c r="L31" s="355"/>
      <c r="M31" s="354">
        <v>0.4</v>
      </c>
      <c r="N31" s="354">
        <v>0.3</v>
      </c>
      <c r="O31" s="354">
        <v>0.3</v>
      </c>
      <c r="P31" s="355"/>
      <c r="Q31" s="355"/>
      <c r="R31" s="355"/>
      <c r="S31" s="356">
        <f t="shared" si="0"/>
        <v>1</v>
      </c>
    </row>
    <row r="32" spans="1:21" x14ac:dyDescent="0.25">
      <c r="A32" s="348">
        <v>10</v>
      </c>
      <c r="B32" s="349" t="str">
        <f>'[1]PLANILHA ORÇAMENTÁRIA'!D86</f>
        <v>VIDROS E ESPELHOS</v>
      </c>
      <c r="C32" s="350">
        <f>('Planilha Orçamentária'!I90)*29</f>
        <v>0</v>
      </c>
      <c r="D32" s="351" t="e">
        <f>C32/$C$93</f>
        <v>#DIV/0!</v>
      </c>
      <c r="E32" s="351"/>
      <c r="F32" s="351"/>
      <c r="G32" s="352"/>
      <c r="H32" s="352"/>
      <c r="I32" s="352"/>
      <c r="J32" s="352"/>
      <c r="K32" s="352"/>
      <c r="L32" s="352"/>
      <c r="M32" s="352">
        <f>M33*$C$32</f>
        <v>0</v>
      </c>
      <c r="N32" s="352">
        <f>N33*$C$32</f>
        <v>0</v>
      </c>
      <c r="O32" s="352">
        <f>O33*$C$32</f>
        <v>0</v>
      </c>
      <c r="P32" s="352"/>
      <c r="Q32" s="352"/>
      <c r="R32" s="352"/>
      <c r="S32" s="353">
        <f t="shared" si="0"/>
        <v>0</v>
      </c>
      <c r="T32" s="358">
        <f>C32-S32</f>
        <v>0</v>
      </c>
    </row>
    <row r="33" spans="1:19" x14ac:dyDescent="0.25">
      <c r="A33" s="348"/>
      <c r="B33" s="349"/>
      <c r="C33" s="350"/>
      <c r="D33" s="351"/>
      <c r="E33" s="351"/>
      <c r="F33" s="351"/>
      <c r="G33" s="355"/>
      <c r="H33" s="355"/>
      <c r="I33" s="355"/>
      <c r="J33" s="355"/>
      <c r="K33" s="355"/>
      <c r="L33" s="355"/>
      <c r="M33" s="354">
        <v>0.4</v>
      </c>
      <c r="N33" s="354">
        <v>0.3</v>
      </c>
      <c r="O33" s="354">
        <v>0.3</v>
      </c>
      <c r="P33" s="355"/>
      <c r="Q33" s="355"/>
      <c r="R33" s="355"/>
      <c r="S33" s="356">
        <f t="shared" si="0"/>
        <v>1</v>
      </c>
    </row>
    <row r="34" spans="1:19" x14ac:dyDescent="0.25">
      <c r="A34" s="348">
        <v>11</v>
      </c>
      <c r="B34" s="349" t="str">
        <f>'[1]PLANILHA ORÇAMENTÁRIA'!D91</f>
        <v>COBERTURA</v>
      </c>
      <c r="C34" s="350">
        <f>('Planilha Orçamentária'!I98)*29</f>
        <v>0</v>
      </c>
      <c r="D34" s="351" t="e">
        <f>C34/$C$93</f>
        <v>#DIV/0!</v>
      </c>
      <c r="E34" s="351"/>
      <c r="F34" s="351"/>
      <c r="G34" s="352"/>
      <c r="H34" s="352"/>
      <c r="I34" s="352">
        <f t="shared" ref="I34:O34" si="1">I35*$C$34</f>
        <v>0</v>
      </c>
      <c r="J34" s="352">
        <f t="shared" si="1"/>
        <v>0</v>
      </c>
      <c r="K34" s="352">
        <f t="shared" si="1"/>
        <v>0</v>
      </c>
      <c r="L34" s="352">
        <f t="shared" si="1"/>
        <v>0</v>
      </c>
      <c r="M34" s="352">
        <f t="shared" si="1"/>
        <v>0</v>
      </c>
      <c r="N34" s="352">
        <f t="shared" si="1"/>
        <v>0</v>
      </c>
      <c r="O34" s="352">
        <f t="shared" si="1"/>
        <v>0</v>
      </c>
      <c r="P34" s="352"/>
      <c r="Q34" s="352"/>
      <c r="R34" s="352"/>
      <c r="S34" s="353">
        <f t="shared" si="0"/>
        <v>0</v>
      </c>
    </row>
    <row r="35" spans="1:19" x14ac:dyDescent="0.25">
      <c r="A35" s="348"/>
      <c r="B35" s="349"/>
      <c r="C35" s="350"/>
      <c r="D35" s="351"/>
      <c r="E35" s="351"/>
      <c r="F35" s="351"/>
      <c r="G35" s="355"/>
      <c r="H35" s="355"/>
      <c r="I35" s="354">
        <v>0.05</v>
      </c>
      <c r="J35" s="354">
        <v>0.15</v>
      </c>
      <c r="K35" s="354">
        <v>0.2</v>
      </c>
      <c r="L35" s="354">
        <v>0.3</v>
      </c>
      <c r="M35" s="354">
        <v>0.3</v>
      </c>
      <c r="N35" s="355"/>
      <c r="O35" s="355"/>
      <c r="P35" s="355"/>
      <c r="Q35" s="355"/>
      <c r="R35" s="355"/>
      <c r="S35" s="356">
        <f t="shared" si="0"/>
        <v>1</v>
      </c>
    </row>
    <row r="36" spans="1:19" x14ac:dyDescent="0.25">
      <c r="A36" s="348">
        <v>12</v>
      </c>
      <c r="B36" s="349" t="str">
        <f>'[1]PLANILHA ORÇAMENTÁRIA'!D99</f>
        <v>PISOS INTERNOS E EXTERNOS</v>
      </c>
      <c r="C36" s="350">
        <f>('Planilha Orçamentária'!I108)*29</f>
        <v>0</v>
      </c>
      <c r="D36" s="351" t="e">
        <f>C36/$C$93</f>
        <v>#DIV/0!</v>
      </c>
      <c r="E36" s="351"/>
      <c r="F36" s="351"/>
      <c r="G36" s="352"/>
      <c r="H36" s="352"/>
      <c r="I36" s="352"/>
      <c r="J36" s="352"/>
      <c r="K36" s="352"/>
      <c r="L36" s="352"/>
      <c r="M36" s="352"/>
      <c r="N36" s="352"/>
      <c r="O36" s="352">
        <f>O37*$C$36</f>
        <v>0</v>
      </c>
      <c r="P36" s="352">
        <f>P37*$C$36</f>
        <v>0</v>
      </c>
      <c r="Q36" s="352">
        <f>Q37*$C$36</f>
        <v>0</v>
      </c>
      <c r="R36" s="352">
        <f>R37*$C$36</f>
        <v>0</v>
      </c>
      <c r="S36" s="353">
        <f t="shared" si="0"/>
        <v>0</v>
      </c>
    </row>
    <row r="37" spans="1:19" x14ac:dyDescent="0.25">
      <c r="A37" s="348"/>
      <c r="B37" s="349"/>
      <c r="C37" s="350"/>
      <c r="D37" s="351"/>
      <c r="E37" s="351"/>
      <c r="F37" s="351"/>
      <c r="G37" s="355"/>
      <c r="H37" s="355"/>
      <c r="I37" s="355"/>
      <c r="J37" s="355"/>
      <c r="K37" s="355"/>
      <c r="L37" s="355"/>
      <c r="M37" s="355"/>
      <c r="N37" s="355"/>
      <c r="O37" s="354">
        <v>0.1</v>
      </c>
      <c r="P37" s="354">
        <v>0.3</v>
      </c>
      <c r="Q37" s="354">
        <v>0.3</v>
      </c>
      <c r="R37" s="354">
        <v>0.3</v>
      </c>
      <c r="S37" s="356">
        <f t="shared" si="0"/>
        <v>1</v>
      </c>
    </row>
    <row r="38" spans="1:19" x14ac:dyDescent="0.25">
      <c r="A38" s="348">
        <v>13</v>
      </c>
      <c r="B38" s="349" t="str">
        <f>'[1]PLANILHA ORÇAMENTÁRIA'!D109</f>
        <v>INSTALAÇÃO HIDRO-SANITÁRIAS</v>
      </c>
      <c r="C38" s="350">
        <f>('Planilha Orçamentária'!I129)*29</f>
        <v>0</v>
      </c>
      <c r="D38" s="351" t="e">
        <f>C38/$C$93</f>
        <v>#DIV/0!</v>
      </c>
      <c r="E38" s="351"/>
      <c r="F38" s="351"/>
      <c r="G38" s="352"/>
      <c r="H38" s="352"/>
      <c r="I38" s="352">
        <f t="shared" ref="I38:O38" si="2">I39*$C$38</f>
        <v>0</v>
      </c>
      <c r="J38" s="352">
        <f t="shared" si="2"/>
        <v>0</v>
      </c>
      <c r="K38" s="352">
        <f t="shared" si="2"/>
        <v>0</v>
      </c>
      <c r="L38" s="352">
        <f t="shared" si="2"/>
        <v>0</v>
      </c>
      <c r="M38" s="352">
        <f t="shared" si="2"/>
        <v>0</v>
      </c>
      <c r="N38" s="352">
        <f t="shared" si="2"/>
        <v>0</v>
      </c>
      <c r="O38" s="352">
        <f t="shared" si="2"/>
        <v>0</v>
      </c>
      <c r="P38" s="352"/>
      <c r="Q38" s="352"/>
      <c r="R38" s="352"/>
      <c r="S38" s="353">
        <f t="shared" si="0"/>
        <v>0</v>
      </c>
    </row>
    <row r="39" spans="1:19" x14ac:dyDescent="0.25">
      <c r="A39" s="348"/>
      <c r="B39" s="349"/>
      <c r="C39" s="350"/>
      <c r="D39" s="351"/>
      <c r="E39" s="351"/>
      <c r="F39" s="351"/>
      <c r="G39" s="355"/>
      <c r="H39" s="355"/>
      <c r="I39" s="354">
        <v>0.1</v>
      </c>
      <c r="J39" s="354">
        <v>0.2</v>
      </c>
      <c r="K39" s="354">
        <v>0.3</v>
      </c>
      <c r="L39" s="354">
        <v>0.1</v>
      </c>
      <c r="M39" s="354">
        <v>0.1</v>
      </c>
      <c r="N39" s="354">
        <v>0.1</v>
      </c>
      <c r="O39" s="354">
        <v>0.1</v>
      </c>
      <c r="P39" s="355"/>
      <c r="Q39" s="355"/>
      <c r="R39" s="355"/>
      <c r="S39" s="356">
        <f t="shared" si="0"/>
        <v>1</v>
      </c>
    </row>
    <row r="40" spans="1:19" x14ac:dyDescent="0.25">
      <c r="A40" s="348">
        <v>14</v>
      </c>
      <c r="B40" s="349" t="str">
        <f>'[1]PLANILHA ORÇAMENTÁRIA'!D130</f>
        <v>APARELHOS HIDRO-SANITÁRIOS</v>
      </c>
      <c r="C40" s="350">
        <f>'Planilha Orçamentária'!I140*29</f>
        <v>0</v>
      </c>
      <c r="D40" s="351" t="e">
        <f>C40/$C$93</f>
        <v>#DIV/0!</v>
      </c>
      <c r="E40" s="351"/>
      <c r="F40" s="351"/>
      <c r="G40" s="352"/>
      <c r="H40" s="352"/>
      <c r="I40" s="352"/>
      <c r="J40" s="352"/>
      <c r="K40" s="352"/>
      <c r="L40" s="352"/>
      <c r="M40" s="352"/>
      <c r="N40" s="352"/>
      <c r="O40" s="352">
        <f>O41*$C$40</f>
        <v>0</v>
      </c>
      <c r="P40" s="352">
        <f>P41*$C$40</f>
        <v>0</v>
      </c>
      <c r="Q40" s="352"/>
      <c r="R40" s="352"/>
      <c r="S40" s="353">
        <f t="shared" si="0"/>
        <v>0</v>
      </c>
    </row>
    <row r="41" spans="1:19" x14ac:dyDescent="0.25">
      <c r="A41" s="348"/>
      <c r="B41" s="349"/>
      <c r="C41" s="350"/>
      <c r="D41" s="351"/>
      <c r="E41" s="351"/>
      <c r="F41" s="351"/>
      <c r="G41" s="355"/>
      <c r="H41" s="355"/>
      <c r="I41" s="355"/>
      <c r="J41" s="355"/>
      <c r="K41" s="355"/>
      <c r="L41" s="355"/>
      <c r="M41" s="355"/>
      <c r="N41" s="355"/>
      <c r="O41" s="354">
        <v>0.5</v>
      </c>
      <c r="P41" s="354">
        <v>0.5</v>
      </c>
      <c r="Q41" s="355"/>
      <c r="R41" s="355"/>
      <c r="S41" s="356">
        <f t="shared" si="0"/>
        <v>1</v>
      </c>
    </row>
    <row r="42" spans="1:19" x14ac:dyDescent="0.25">
      <c r="A42" s="348">
        <v>15</v>
      </c>
      <c r="B42" s="349" t="str">
        <f>'[1]PLANILHA ORÇAMENTÁRIA'!D141</f>
        <v>APARELHOS ELETRICOS</v>
      </c>
      <c r="C42" s="350">
        <f>'Planilha Orçamentária'!I153*29</f>
        <v>0</v>
      </c>
      <c r="D42" s="351" t="e">
        <f>C42/$C$93</f>
        <v>#DIV/0!</v>
      </c>
      <c r="E42" s="351"/>
      <c r="F42" s="351"/>
      <c r="G42" s="352"/>
      <c r="H42" s="352"/>
      <c r="I42" s="352"/>
      <c r="J42" s="352"/>
      <c r="K42" s="352"/>
      <c r="L42" s="352"/>
      <c r="M42" s="352"/>
      <c r="N42" s="352"/>
      <c r="O42" s="352">
        <f>O43*$C$42</f>
        <v>0</v>
      </c>
      <c r="P42" s="352">
        <f>P43*$C$42</f>
        <v>0</v>
      </c>
      <c r="Q42" s="352"/>
      <c r="R42" s="352"/>
      <c r="S42" s="353">
        <f t="shared" si="0"/>
        <v>0</v>
      </c>
    </row>
    <row r="43" spans="1:19" x14ac:dyDescent="0.25">
      <c r="A43" s="348"/>
      <c r="B43" s="349"/>
      <c r="C43" s="350"/>
      <c r="D43" s="351"/>
      <c r="E43" s="351"/>
      <c r="F43" s="351"/>
      <c r="G43" s="355"/>
      <c r="H43" s="355"/>
      <c r="I43" s="355"/>
      <c r="J43" s="355"/>
      <c r="K43" s="355"/>
      <c r="L43" s="355"/>
      <c r="M43" s="355"/>
      <c r="N43" s="355"/>
      <c r="O43" s="355"/>
      <c r="P43" s="354">
        <v>1</v>
      </c>
      <c r="Q43" s="355"/>
      <c r="R43" s="355"/>
      <c r="S43" s="356">
        <f t="shared" si="0"/>
        <v>1</v>
      </c>
    </row>
    <row r="44" spans="1:19" x14ac:dyDescent="0.25">
      <c r="A44" s="348">
        <v>16</v>
      </c>
      <c r="B44" s="349" t="str">
        <f>'[1]PLANILHA ORÇAMENTÁRIA'!D154</f>
        <v>INSTALAÇÃO ELÉTRICA</v>
      </c>
      <c r="C44" s="350">
        <f>'Planilha Orçamentária'!I164*29</f>
        <v>0</v>
      </c>
      <c r="D44" s="351" t="e">
        <f>C44/$C$93</f>
        <v>#DIV/0!</v>
      </c>
      <c r="E44" s="351"/>
      <c r="F44" s="351"/>
      <c r="G44" s="352"/>
      <c r="H44" s="352"/>
      <c r="I44" s="352"/>
      <c r="J44" s="352"/>
      <c r="K44" s="352"/>
      <c r="L44" s="352"/>
      <c r="M44" s="352"/>
      <c r="N44" s="352">
        <f>N45*$C$44</f>
        <v>0</v>
      </c>
      <c r="O44" s="352">
        <f>O45*$C$44</f>
        <v>0</v>
      </c>
      <c r="P44" s="352">
        <f>P45*$C$44</f>
        <v>0</v>
      </c>
      <c r="Q44" s="352">
        <f>Q45*$C$44</f>
        <v>0</v>
      </c>
      <c r="R44" s="352"/>
      <c r="S44" s="353">
        <f t="shared" si="0"/>
        <v>0</v>
      </c>
    </row>
    <row r="45" spans="1:19" x14ac:dyDescent="0.25">
      <c r="A45" s="348"/>
      <c r="B45" s="349"/>
      <c r="C45" s="350"/>
      <c r="D45" s="351"/>
      <c r="E45" s="351"/>
      <c r="F45" s="351"/>
      <c r="G45" s="355"/>
      <c r="H45" s="355"/>
      <c r="I45" s="355"/>
      <c r="J45" s="355"/>
      <c r="K45" s="355"/>
      <c r="L45" s="355"/>
      <c r="M45" s="355"/>
      <c r="N45" s="354">
        <v>0.3</v>
      </c>
      <c r="O45" s="354">
        <v>0.3</v>
      </c>
      <c r="P45" s="354">
        <v>0.3</v>
      </c>
      <c r="Q45" s="354">
        <v>0.1</v>
      </c>
      <c r="R45" s="355"/>
      <c r="S45" s="356">
        <f t="shared" si="0"/>
        <v>1</v>
      </c>
    </row>
    <row r="46" spans="1:19" x14ac:dyDescent="0.25">
      <c r="A46" s="348">
        <v>17</v>
      </c>
      <c r="B46" s="349" t="str">
        <f>'[1]PLANILHA ORÇAMENTÁRIA'!D165</f>
        <v>PINTURA</v>
      </c>
      <c r="C46" s="350">
        <f>'Planilha Orçamentária'!I174*29</f>
        <v>0</v>
      </c>
      <c r="D46" s="351" t="e">
        <f>C46/$C$93</f>
        <v>#DIV/0!</v>
      </c>
      <c r="E46" s="351"/>
      <c r="F46" s="351"/>
      <c r="G46" s="352"/>
      <c r="H46" s="352"/>
      <c r="I46" s="352"/>
      <c r="J46" s="352"/>
      <c r="K46" s="352"/>
      <c r="L46" s="352"/>
      <c r="M46" s="352"/>
      <c r="N46" s="352">
        <f>N47*$C$46</f>
        <v>0</v>
      </c>
      <c r="O46" s="352">
        <f>O47*$C$46</f>
        <v>0</v>
      </c>
      <c r="P46" s="352">
        <f>P47*$C$46</f>
        <v>0</v>
      </c>
      <c r="Q46" s="352">
        <f>Q47*$C$46</f>
        <v>0</v>
      </c>
      <c r="R46" s="352"/>
      <c r="S46" s="353">
        <f t="shared" si="0"/>
        <v>0</v>
      </c>
    </row>
    <row r="47" spans="1:19" x14ac:dyDescent="0.25">
      <c r="A47" s="348"/>
      <c r="B47" s="349"/>
      <c r="C47" s="350"/>
      <c r="D47" s="351"/>
      <c r="E47" s="351"/>
      <c r="F47" s="351"/>
      <c r="G47" s="355"/>
      <c r="H47" s="355"/>
      <c r="I47" s="355"/>
      <c r="J47" s="355"/>
      <c r="K47" s="355"/>
      <c r="L47" s="355"/>
      <c r="M47" s="355"/>
      <c r="N47" s="354">
        <v>0.1</v>
      </c>
      <c r="O47" s="354">
        <v>0.3</v>
      </c>
      <c r="P47" s="354">
        <v>0.3</v>
      </c>
      <c r="Q47" s="354">
        <v>0.3</v>
      </c>
      <c r="R47" s="355"/>
      <c r="S47" s="356">
        <f t="shared" si="0"/>
        <v>1</v>
      </c>
    </row>
    <row r="48" spans="1:19" x14ac:dyDescent="0.25">
      <c r="A48" s="348">
        <v>18</v>
      </c>
      <c r="B48" s="349" t="str">
        <f>'[1]PLANILHA ORÇAMENTÁRIA'!D175</f>
        <v>CALÇADA</v>
      </c>
      <c r="C48" s="350">
        <f>'Planilha Orçamentária'!I184*29</f>
        <v>0</v>
      </c>
      <c r="D48" s="351" t="e">
        <f>C48/$C$93</f>
        <v>#DIV/0!</v>
      </c>
      <c r="E48" s="351"/>
      <c r="F48" s="351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>
        <f>Q49*$C$48</f>
        <v>0</v>
      </c>
      <c r="R48" s="352">
        <f>R49*$C$48</f>
        <v>0</v>
      </c>
      <c r="S48" s="353">
        <f t="shared" si="0"/>
        <v>0</v>
      </c>
    </row>
    <row r="49" spans="1:19" x14ac:dyDescent="0.25">
      <c r="A49" s="348"/>
      <c r="B49" s="349"/>
      <c r="C49" s="350"/>
      <c r="D49" s="351"/>
      <c r="E49" s="351"/>
      <c r="F49" s="351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4">
        <v>0.5</v>
      </c>
      <c r="R49" s="354">
        <v>0.5</v>
      </c>
      <c r="S49" s="356">
        <f t="shared" si="0"/>
        <v>1</v>
      </c>
    </row>
    <row r="50" spans="1:19" ht="25.5" x14ac:dyDescent="0.25">
      <c r="A50" s="348">
        <v>19</v>
      </c>
      <c r="B50" s="349" t="str">
        <f>'[1]PLANILHA ORÇAMENTÁRIA'!D185</f>
        <v>TRATAMENTO, CONSERVAÇÃO E LIMPEZA</v>
      </c>
      <c r="C50" s="350">
        <f>'Planilha Orçamentária'!I188*29</f>
        <v>0</v>
      </c>
      <c r="D50" s="351" t="e">
        <f>C50/$C$93</f>
        <v>#DIV/0!</v>
      </c>
      <c r="E50" s="351"/>
      <c r="F50" s="351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>
        <f>R51*$C$50</f>
        <v>0</v>
      </c>
      <c r="S50" s="353">
        <f t="shared" si="0"/>
        <v>0</v>
      </c>
    </row>
    <row r="51" spans="1:19" x14ac:dyDescent="0.25">
      <c r="A51" s="348"/>
      <c r="B51" s="349"/>
      <c r="C51" s="350"/>
      <c r="D51" s="351"/>
      <c r="E51" s="351"/>
      <c r="F51" s="351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4">
        <v>1</v>
      </c>
      <c r="S51" s="356">
        <f t="shared" si="0"/>
        <v>1</v>
      </c>
    </row>
    <row r="52" spans="1:19" ht="5.0999999999999996" customHeight="1" x14ac:dyDescent="0.25">
      <c r="A52" s="348"/>
      <c r="B52" s="349"/>
      <c r="C52" s="350"/>
      <c r="D52" s="351"/>
      <c r="E52" s="351"/>
      <c r="F52" s="351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6"/>
    </row>
    <row r="53" spans="1:19" ht="15" customHeight="1" x14ac:dyDescent="0.25">
      <c r="A53" s="605" t="s">
        <v>909</v>
      </c>
      <c r="B53" s="605"/>
      <c r="C53" s="605"/>
      <c r="D53" s="605"/>
      <c r="E53" s="605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5"/>
      <c r="Q53" s="605"/>
      <c r="R53" s="605"/>
      <c r="S53" s="356"/>
    </row>
    <row r="54" spans="1:19" ht="5.0999999999999996" customHeight="1" x14ac:dyDescent="0.25">
      <c r="A54" s="348"/>
      <c r="B54" s="349"/>
      <c r="C54" s="350"/>
      <c r="D54" s="351"/>
      <c r="E54" s="351"/>
      <c r="F54" s="351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6"/>
    </row>
    <row r="55" spans="1:19" x14ac:dyDescent="0.25">
      <c r="A55" s="348">
        <v>20</v>
      </c>
      <c r="B55" s="349" t="str">
        <f>'[1]PLANILHA ORÇAMENTÁRIA'!D192</f>
        <v>SERVIÇOS PRELIMINARES</v>
      </c>
      <c r="C55" s="350">
        <f>'Planilha Orçamentária'!I195*3</f>
        <v>0</v>
      </c>
      <c r="D55" s="351" t="e">
        <f>C55/$C$93</f>
        <v>#DIV/0!</v>
      </c>
      <c r="E55" s="351"/>
      <c r="F55" s="351"/>
      <c r="G55" s="352">
        <f>$C$55*G56</f>
        <v>0</v>
      </c>
      <c r="H55" s="352">
        <f>$C$55*H56</f>
        <v>0</v>
      </c>
      <c r="I55" s="352">
        <f>$C$55*I56</f>
        <v>0</v>
      </c>
      <c r="J55" s="352"/>
      <c r="K55" s="352"/>
      <c r="L55" s="352"/>
      <c r="M55" s="352"/>
      <c r="N55" s="352"/>
      <c r="O55" s="352"/>
      <c r="P55" s="352"/>
      <c r="Q55" s="352"/>
      <c r="R55" s="352"/>
      <c r="S55" s="353">
        <f t="shared" ref="S55:S90" si="3">SUM(G55:R55)</f>
        <v>0</v>
      </c>
    </row>
    <row r="56" spans="1:19" x14ac:dyDescent="0.25">
      <c r="A56" s="348"/>
      <c r="B56" s="349"/>
      <c r="C56" s="350"/>
      <c r="D56" s="351"/>
      <c r="E56" s="351"/>
      <c r="F56" s="351"/>
      <c r="G56" s="354">
        <v>0.25</v>
      </c>
      <c r="H56" s="354">
        <v>0.3</v>
      </c>
      <c r="I56" s="357">
        <v>0.45</v>
      </c>
      <c r="J56" s="355"/>
      <c r="K56" s="355"/>
      <c r="L56" s="355"/>
      <c r="M56" s="355"/>
      <c r="N56" s="355"/>
      <c r="O56" s="355"/>
      <c r="P56" s="355"/>
      <c r="Q56" s="355"/>
      <c r="R56" s="355"/>
      <c r="S56" s="356">
        <f t="shared" si="3"/>
        <v>1</v>
      </c>
    </row>
    <row r="57" spans="1:19" x14ac:dyDescent="0.25">
      <c r="A57" s="348">
        <v>21</v>
      </c>
      <c r="B57" s="349" t="str">
        <f>'[1]PLANILHA ORÇAMENTÁRIA'!D196</f>
        <v>MOVIMENTO DE TERRA</v>
      </c>
      <c r="C57" s="350">
        <f>'Planilha Orçamentária'!I203*3</f>
        <v>0</v>
      </c>
      <c r="D57" s="351" t="e">
        <f>C57/$C$93</f>
        <v>#DIV/0!</v>
      </c>
      <c r="E57" s="351"/>
      <c r="F57" s="351"/>
      <c r="G57" s="352">
        <f>$C$57*G58</f>
        <v>0</v>
      </c>
      <c r="H57" s="352">
        <f>$C$57*H58</f>
        <v>0</v>
      </c>
      <c r="I57" s="352">
        <f>$C$57*I58</f>
        <v>0</v>
      </c>
      <c r="J57" s="352">
        <f>$C$57*J58</f>
        <v>0</v>
      </c>
      <c r="K57" s="352"/>
      <c r="L57" s="352"/>
      <c r="M57" s="352"/>
      <c r="N57" s="352"/>
      <c r="O57" s="352"/>
      <c r="P57" s="352"/>
      <c r="Q57" s="352"/>
      <c r="R57" s="352"/>
      <c r="S57" s="353">
        <f t="shared" si="3"/>
        <v>0</v>
      </c>
    </row>
    <row r="58" spans="1:19" x14ac:dyDescent="0.25">
      <c r="A58" s="348"/>
      <c r="B58" s="349"/>
      <c r="C58" s="350"/>
      <c r="D58" s="351"/>
      <c r="E58" s="351"/>
      <c r="F58" s="351"/>
      <c r="G58" s="357">
        <v>0.05</v>
      </c>
      <c r="H58" s="354">
        <v>0.3</v>
      </c>
      <c r="I58" s="354">
        <v>0.25</v>
      </c>
      <c r="J58" s="354">
        <v>0.4</v>
      </c>
      <c r="K58" s="355"/>
      <c r="L58" s="355"/>
      <c r="M58" s="355"/>
      <c r="N58" s="355"/>
      <c r="O58" s="355"/>
      <c r="P58" s="355"/>
      <c r="Q58" s="355"/>
      <c r="R58" s="355"/>
      <c r="S58" s="356">
        <f t="shared" si="3"/>
        <v>1</v>
      </c>
    </row>
    <row r="59" spans="1:19" x14ac:dyDescent="0.25">
      <c r="A59" s="348">
        <v>22</v>
      </c>
      <c r="B59" s="349" t="str">
        <f>'[1]PLANILHA ORÇAMENTÁRIA'!D204</f>
        <v>ESTRUTURAS</v>
      </c>
      <c r="C59" s="350">
        <f>'Planilha Orçamentária'!I218*3</f>
        <v>0</v>
      </c>
      <c r="D59" s="351" t="e">
        <f>C59/$C$93</f>
        <v>#DIV/0!</v>
      </c>
      <c r="E59" s="351"/>
      <c r="F59" s="351"/>
      <c r="G59" s="352"/>
      <c r="H59" s="352">
        <f>$C$59*H60</f>
        <v>0</v>
      </c>
      <c r="I59" s="352">
        <f>$C$59*I60</f>
        <v>0</v>
      </c>
      <c r="J59" s="352">
        <f>$C$59*J60</f>
        <v>0</v>
      </c>
      <c r="K59" s="352">
        <f>$C$59*K60</f>
        <v>0</v>
      </c>
      <c r="L59" s="352">
        <f>$C$59*L60</f>
        <v>0</v>
      </c>
      <c r="M59" s="352"/>
      <c r="N59" s="352"/>
      <c r="O59" s="352"/>
      <c r="P59" s="352"/>
      <c r="Q59" s="352"/>
      <c r="R59" s="352"/>
      <c r="S59" s="353">
        <f t="shared" si="3"/>
        <v>0</v>
      </c>
    </row>
    <row r="60" spans="1:19" x14ac:dyDescent="0.25">
      <c r="A60" s="348"/>
      <c r="B60" s="349"/>
      <c r="C60" s="350"/>
      <c r="D60" s="351"/>
      <c r="E60" s="351"/>
      <c r="F60" s="351"/>
      <c r="G60" s="355"/>
      <c r="H60" s="354">
        <v>0.05</v>
      </c>
      <c r="I60" s="354">
        <v>0.15</v>
      </c>
      <c r="J60" s="354">
        <v>0.2</v>
      </c>
      <c r="K60" s="354">
        <v>0.3</v>
      </c>
      <c r="L60" s="354">
        <v>0.3</v>
      </c>
      <c r="M60" s="355"/>
      <c r="N60" s="355"/>
      <c r="O60" s="355"/>
      <c r="P60" s="355"/>
      <c r="Q60" s="355"/>
      <c r="R60" s="355"/>
      <c r="S60" s="356">
        <f t="shared" si="3"/>
        <v>1</v>
      </c>
    </row>
    <row r="61" spans="1:19" x14ac:dyDescent="0.25">
      <c r="A61" s="348">
        <v>23</v>
      </c>
      <c r="B61" s="349" t="str">
        <f>'[1]PLANILHA ORÇAMENTÁRIA'!D219</f>
        <v>PAREDES E PAINÉIS</v>
      </c>
      <c r="C61" s="350">
        <f>'Planilha Orçamentária'!I223*3</f>
        <v>0</v>
      </c>
      <c r="D61" s="351" t="e">
        <f>C61/$C$93</f>
        <v>#DIV/0!</v>
      </c>
      <c r="E61" s="351"/>
      <c r="F61" s="351"/>
      <c r="G61" s="352"/>
      <c r="H61" s="352"/>
      <c r="I61" s="352">
        <f>$C$61*I62</f>
        <v>0</v>
      </c>
      <c r="J61" s="352">
        <f>$C$61*J62</f>
        <v>0</v>
      </c>
      <c r="K61" s="352">
        <f>$C$61*K62</f>
        <v>0</v>
      </c>
      <c r="L61" s="352">
        <f>$C$61*L62</f>
        <v>0</v>
      </c>
      <c r="M61" s="352">
        <f>$C$61*M62</f>
        <v>0</v>
      </c>
      <c r="N61" s="352"/>
      <c r="O61" s="352"/>
      <c r="P61" s="352"/>
      <c r="Q61" s="352"/>
      <c r="R61" s="352"/>
      <c r="S61" s="353">
        <f t="shared" si="3"/>
        <v>0</v>
      </c>
    </row>
    <row r="62" spans="1:19" x14ac:dyDescent="0.25">
      <c r="A62" s="348"/>
      <c r="B62" s="349"/>
      <c r="C62" s="350"/>
      <c r="D62" s="351"/>
      <c r="E62" s="351"/>
      <c r="F62" s="351"/>
      <c r="G62" s="355"/>
      <c r="H62" s="355"/>
      <c r="I62" s="354">
        <v>0.05</v>
      </c>
      <c r="J62" s="354">
        <v>0.15</v>
      </c>
      <c r="K62" s="354">
        <v>0.2</v>
      </c>
      <c r="L62" s="354">
        <v>0.3</v>
      </c>
      <c r="M62" s="354">
        <v>0.3</v>
      </c>
      <c r="N62" s="355"/>
      <c r="O62" s="355"/>
      <c r="P62" s="355"/>
      <c r="Q62" s="355"/>
      <c r="R62" s="355"/>
      <c r="S62" s="356">
        <f t="shared" si="3"/>
        <v>1</v>
      </c>
    </row>
    <row r="63" spans="1:19" x14ac:dyDescent="0.25">
      <c r="A63" s="348">
        <v>24</v>
      </c>
      <c r="B63" s="349" t="str">
        <f>'[1]PLANILHA ORÇAMENTÁRIA'!D224</f>
        <v>TETOS E FORROS</v>
      </c>
      <c r="C63" s="350">
        <f>'Planilha Orçamentária'!I228*3</f>
        <v>0</v>
      </c>
      <c r="D63" s="351" t="e">
        <f>C63/$C$93</f>
        <v>#DIV/0!</v>
      </c>
      <c r="E63" s="351"/>
      <c r="F63" s="351"/>
      <c r="G63" s="352"/>
      <c r="H63" s="352"/>
      <c r="I63" s="352"/>
      <c r="J63" s="352"/>
      <c r="K63" s="352"/>
      <c r="L63" s="352">
        <f>$C$63*L64</f>
        <v>0</v>
      </c>
      <c r="M63" s="352">
        <f>$C$63*M64</f>
        <v>0</v>
      </c>
      <c r="N63" s="352">
        <f>$C$63*N64</f>
        <v>0</v>
      </c>
      <c r="O63" s="352"/>
      <c r="P63" s="352"/>
      <c r="Q63" s="352"/>
      <c r="R63" s="352"/>
      <c r="S63" s="353">
        <f t="shared" si="3"/>
        <v>0</v>
      </c>
    </row>
    <row r="64" spans="1:19" x14ac:dyDescent="0.25">
      <c r="A64" s="348"/>
      <c r="B64" s="349"/>
      <c r="C64" s="350"/>
      <c r="D64" s="351"/>
      <c r="E64" s="351"/>
      <c r="F64" s="351"/>
      <c r="G64" s="355"/>
      <c r="H64" s="355"/>
      <c r="I64" s="355"/>
      <c r="J64" s="355"/>
      <c r="K64" s="355"/>
      <c r="L64" s="354">
        <v>0.4</v>
      </c>
      <c r="M64" s="354">
        <v>0.3</v>
      </c>
      <c r="N64" s="354">
        <v>0.3</v>
      </c>
      <c r="O64" s="355"/>
      <c r="P64" s="355"/>
      <c r="Q64" s="355"/>
      <c r="R64" s="355"/>
      <c r="S64" s="356">
        <f t="shared" si="3"/>
        <v>1</v>
      </c>
    </row>
    <row r="65" spans="1:19" x14ac:dyDescent="0.25">
      <c r="A65" s="348">
        <v>25</v>
      </c>
      <c r="B65" s="349" t="str">
        <f>'[1]PLANILHA ORÇAMENTÁRIA'!D229</f>
        <v>REVESTIMENTO DE PAREDES</v>
      </c>
      <c r="C65" s="350">
        <f>'Planilha Orçamentária'!I236*3</f>
        <v>0</v>
      </c>
      <c r="D65" s="351" t="e">
        <f>C65/$C$93</f>
        <v>#DIV/0!</v>
      </c>
      <c r="E65" s="351"/>
      <c r="F65" s="351"/>
      <c r="G65" s="352"/>
      <c r="H65" s="352"/>
      <c r="I65" s="352"/>
      <c r="J65" s="352"/>
      <c r="K65" s="352"/>
      <c r="L65" s="352">
        <f>$C$65*L66</f>
        <v>0</v>
      </c>
      <c r="M65" s="352">
        <f>$C$65*M66</f>
        <v>0</v>
      </c>
      <c r="N65" s="352">
        <f>$C$65*N66</f>
        <v>0</v>
      </c>
      <c r="O65" s="352"/>
      <c r="P65" s="352"/>
      <c r="Q65" s="352"/>
      <c r="R65" s="352"/>
      <c r="S65" s="353">
        <f t="shared" si="3"/>
        <v>0</v>
      </c>
    </row>
    <row r="66" spans="1:19" x14ac:dyDescent="0.25">
      <c r="A66" s="348"/>
      <c r="B66" s="349"/>
      <c r="C66" s="350"/>
      <c r="D66" s="351"/>
      <c r="E66" s="351"/>
      <c r="F66" s="351"/>
      <c r="G66" s="355"/>
      <c r="H66" s="355"/>
      <c r="I66" s="355"/>
      <c r="J66" s="355"/>
      <c r="K66" s="355"/>
      <c r="L66" s="354">
        <v>0.4</v>
      </c>
      <c r="M66" s="354">
        <v>0.3</v>
      </c>
      <c r="N66" s="354">
        <v>0.3</v>
      </c>
      <c r="O66" s="355"/>
      <c r="P66" s="355"/>
      <c r="Q66" s="355"/>
      <c r="R66" s="355"/>
      <c r="S66" s="356">
        <f t="shared" si="3"/>
        <v>1</v>
      </c>
    </row>
    <row r="67" spans="1:19" x14ac:dyDescent="0.25">
      <c r="A67" s="348">
        <v>26</v>
      </c>
      <c r="B67" s="349" t="str">
        <f>'[1]PLANILHA ORÇAMENTÁRIA'!D237</f>
        <v>ESQUADRIAS DE MADEIRA</v>
      </c>
      <c r="C67" s="350">
        <f>'Planilha Orçamentária'!I251*3</f>
        <v>0</v>
      </c>
      <c r="D67" s="351" t="e">
        <f>C67/$C$93</f>
        <v>#DIV/0!</v>
      </c>
      <c r="E67" s="351"/>
      <c r="F67" s="351"/>
      <c r="G67" s="352"/>
      <c r="H67" s="352"/>
      <c r="I67" s="352"/>
      <c r="J67" s="352"/>
      <c r="K67" s="352"/>
      <c r="L67" s="352"/>
      <c r="M67" s="352">
        <f>$C$67*M68</f>
        <v>0</v>
      </c>
      <c r="N67" s="352">
        <f>$C$67*N68</f>
        <v>0</v>
      </c>
      <c r="O67" s="352">
        <f>$C$67*O68</f>
        <v>0</v>
      </c>
      <c r="P67" s="352"/>
      <c r="Q67" s="352"/>
      <c r="R67" s="352"/>
      <c r="S67" s="353">
        <f t="shared" si="3"/>
        <v>0</v>
      </c>
    </row>
    <row r="68" spans="1:19" x14ac:dyDescent="0.25">
      <c r="A68" s="348"/>
      <c r="B68" s="349"/>
      <c r="C68" s="350"/>
      <c r="D68" s="351"/>
      <c r="E68" s="351"/>
      <c r="F68" s="351"/>
      <c r="G68" s="355"/>
      <c r="H68" s="355"/>
      <c r="I68" s="355"/>
      <c r="J68" s="355"/>
      <c r="K68" s="355"/>
      <c r="L68" s="355"/>
      <c r="M68" s="354">
        <v>0.4</v>
      </c>
      <c r="N68" s="354">
        <v>0.3</v>
      </c>
      <c r="O68" s="354">
        <v>0.3</v>
      </c>
      <c r="P68" s="355"/>
      <c r="Q68" s="355"/>
      <c r="R68" s="355"/>
      <c r="S68" s="356">
        <f t="shared" si="3"/>
        <v>1</v>
      </c>
    </row>
    <row r="69" spans="1:19" x14ac:dyDescent="0.25">
      <c r="A69" s="348">
        <v>27</v>
      </c>
      <c r="B69" s="349" t="str">
        <f>'[1]PLANILHA ORÇAMENTÁRIA'!D252</f>
        <v>ESQUADRIAS METÁLICAS</v>
      </c>
      <c r="C69" s="350">
        <f>'Planilha Orçamentária'!I258*3</f>
        <v>0</v>
      </c>
      <c r="D69" s="351" t="e">
        <f>C69/$C$93</f>
        <v>#DIV/0!</v>
      </c>
      <c r="E69" s="351"/>
      <c r="F69" s="351"/>
      <c r="G69" s="352"/>
      <c r="H69" s="352"/>
      <c r="I69" s="352"/>
      <c r="J69" s="352"/>
      <c r="K69" s="352"/>
      <c r="L69" s="352"/>
      <c r="M69" s="352">
        <f>$C$69*M70</f>
        <v>0</v>
      </c>
      <c r="N69" s="352">
        <f>$C$69*N70</f>
        <v>0</v>
      </c>
      <c r="O69" s="352">
        <f>$C$69*O70</f>
        <v>0</v>
      </c>
      <c r="P69" s="352"/>
      <c r="Q69" s="352"/>
      <c r="R69" s="352"/>
      <c r="S69" s="353">
        <f t="shared" si="3"/>
        <v>0</v>
      </c>
    </row>
    <row r="70" spans="1:19" x14ac:dyDescent="0.25">
      <c r="A70" s="348"/>
      <c r="B70" s="349"/>
      <c r="C70" s="350"/>
      <c r="D70" s="351"/>
      <c r="E70" s="351"/>
      <c r="F70" s="351"/>
      <c r="G70" s="355"/>
      <c r="H70" s="355"/>
      <c r="I70" s="355"/>
      <c r="J70" s="355"/>
      <c r="K70" s="355"/>
      <c r="L70" s="355"/>
      <c r="M70" s="354">
        <v>0.4</v>
      </c>
      <c r="N70" s="354">
        <v>0.3</v>
      </c>
      <c r="O70" s="354">
        <v>0.3</v>
      </c>
      <c r="P70" s="355"/>
      <c r="Q70" s="355"/>
      <c r="R70" s="355"/>
      <c r="S70" s="356">
        <f t="shared" si="3"/>
        <v>1</v>
      </c>
    </row>
    <row r="71" spans="1:19" x14ac:dyDescent="0.25">
      <c r="A71" s="348">
        <v>28</v>
      </c>
      <c r="B71" s="349" t="str">
        <f>'[1]PLANILHA ORÇAMENTÁRIA'!D259</f>
        <v>VIDROS E ESPELHOS</v>
      </c>
      <c r="C71" s="350">
        <f>'Planilha Orçamentária'!I263*3</f>
        <v>0</v>
      </c>
      <c r="D71" s="351" t="e">
        <f>C71/$C$93</f>
        <v>#DIV/0!</v>
      </c>
      <c r="E71" s="351"/>
      <c r="F71" s="351"/>
      <c r="G71" s="352"/>
      <c r="H71" s="352"/>
      <c r="I71" s="352"/>
      <c r="J71" s="352"/>
      <c r="K71" s="352"/>
      <c r="L71" s="352"/>
      <c r="M71" s="352">
        <f>$C$71*M72</f>
        <v>0</v>
      </c>
      <c r="N71" s="352">
        <f>$C$71*N72</f>
        <v>0</v>
      </c>
      <c r="O71" s="352">
        <f>$C$71*O72</f>
        <v>0</v>
      </c>
      <c r="P71" s="352"/>
      <c r="Q71" s="352"/>
      <c r="R71" s="352"/>
      <c r="S71" s="353">
        <f t="shared" si="3"/>
        <v>0</v>
      </c>
    </row>
    <row r="72" spans="1:19" x14ac:dyDescent="0.25">
      <c r="A72" s="348"/>
      <c r="B72" s="349"/>
      <c r="C72" s="350"/>
      <c r="D72" s="351"/>
      <c r="E72" s="351"/>
      <c r="F72" s="351"/>
      <c r="G72" s="355"/>
      <c r="H72" s="355"/>
      <c r="I72" s="355"/>
      <c r="J72" s="355"/>
      <c r="K72" s="355"/>
      <c r="L72" s="355"/>
      <c r="M72" s="354">
        <v>0.4</v>
      </c>
      <c r="N72" s="354">
        <v>0.3</v>
      </c>
      <c r="O72" s="354">
        <v>0.3</v>
      </c>
      <c r="P72" s="355"/>
      <c r="Q72" s="355"/>
      <c r="R72" s="355"/>
      <c r="S72" s="356">
        <f t="shared" si="3"/>
        <v>1</v>
      </c>
    </row>
    <row r="73" spans="1:19" x14ac:dyDescent="0.25">
      <c r="A73" s="348">
        <v>29</v>
      </c>
      <c r="B73" s="349" t="str">
        <f>'[1]PLANILHA ORÇAMENTÁRIA'!D264</f>
        <v>COBERTURA</v>
      </c>
      <c r="C73" s="350">
        <f>'Planilha Orçamentária'!I271*3</f>
        <v>0</v>
      </c>
      <c r="D73" s="351" t="e">
        <f>C73/$C$93</f>
        <v>#DIV/0!</v>
      </c>
      <c r="E73" s="351"/>
      <c r="F73" s="351"/>
      <c r="G73" s="352"/>
      <c r="H73" s="352"/>
      <c r="I73" s="352">
        <f>$C$73*I74</f>
        <v>0</v>
      </c>
      <c r="J73" s="352">
        <f>$C$73*J74</f>
        <v>0</v>
      </c>
      <c r="K73" s="352">
        <f>$C$73*K74</f>
        <v>0</v>
      </c>
      <c r="L73" s="352">
        <f>$C$73*L74</f>
        <v>0</v>
      </c>
      <c r="M73" s="352">
        <f>$C$73*M74</f>
        <v>0</v>
      </c>
      <c r="N73" s="352"/>
      <c r="O73" s="352"/>
      <c r="P73" s="352"/>
      <c r="Q73" s="352"/>
      <c r="R73" s="352"/>
      <c r="S73" s="353">
        <f t="shared" si="3"/>
        <v>0</v>
      </c>
    </row>
    <row r="74" spans="1:19" x14ac:dyDescent="0.25">
      <c r="A74" s="348"/>
      <c r="B74" s="349"/>
      <c r="C74" s="350"/>
      <c r="D74" s="351"/>
      <c r="E74" s="351"/>
      <c r="F74" s="351"/>
      <c r="G74" s="355"/>
      <c r="H74" s="355"/>
      <c r="I74" s="354">
        <v>0.05</v>
      </c>
      <c r="J74" s="354">
        <v>0.15</v>
      </c>
      <c r="K74" s="354">
        <v>0.2</v>
      </c>
      <c r="L74" s="354">
        <v>0.3</v>
      </c>
      <c r="M74" s="354">
        <v>0.3</v>
      </c>
      <c r="N74" s="355"/>
      <c r="O74" s="355"/>
      <c r="P74" s="355"/>
      <c r="Q74" s="355"/>
      <c r="R74" s="355"/>
      <c r="S74" s="356">
        <f t="shared" si="3"/>
        <v>1</v>
      </c>
    </row>
    <row r="75" spans="1:19" x14ac:dyDescent="0.25">
      <c r="A75" s="348">
        <v>30</v>
      </c>
      <c r="B75" s="349" t="str">
        <f>'[1]PLANILHA ORÇAMENTÁRIA'!D272</f>
        <v>PISOS INTERNOS E EXTERNOS</v>
      </c>
      <c r="C75" s="350">
        <f>'Planilha Orçamentária'!I281*3</f>
        <v>0</v>
      </c>
      <c r="D75" s="351" t="e">
        <f>C75/$C$93</f>
        <v>#DIV/0!</v>
      </c>
      <c r="E75" s="351"/>
      <c r="F75" s="351"/>
      <c r="G75" s="352"/>
      <c r="H75" s="352"/>
      <c r="I75" s="352"/>
      <c r="J75" s="352"/>
      <c r="K75" s="352"/>
      <c r="L75" s="352"/>
      <c r="M75" s="352"/>
      <c r="N75" s="352"/>
      <c r="O75" s="352">
        <f>$C$75*O76</f>
        <v>0</v>
      </c>
      <c r="P75" s="352">
        <f>$C$75*P76</f>
        <v>0</v>
      </c>
      <c r="Q75" s="352">
        <f>$C$75*Q76</f>
        <v>0</v>
      </c>
      <c r="R75" s="352">
        <f>$C$75*R76</f>
        <v>0</v>
      </c>
      <c r="S75" s="353">
        <f t="shared" si="3"/>
        <v>0</v>
      </c>
    </row>
    <row r="76" spans="1:19" x14ac:dyDescent="0.25">
      <c r="A76" s="348"/>
      <c r="B76" s="349"/>
      <c r="C76" s="350"/>
      <c r="D76" s="351"/>
      <c r="E76" s="351"/>
      <c r="F76" s="351"/>
      <c r="G76" s="355"/>
      <c r="H76" s="355"/>
      <c r="I76" s="355"/>
      <c r="J76" s="355"/>
      <c r="K76" s="355"/>
      <c r="L76" s="355"/>
      <c r="M76" s="355"/>
      <c r="N76" s="355"/>
      <c r="O76" s="354">
        <v>0.1</v>
      </c>
      <c r="P76" s="354">
        <v>0.3</v>
      </c>
      <c r="Q76" s="354">
        <v>0.3</v>
      </c>
      <c r="R76" s="354">
        <v>0.3</v>
      </c>
      <c r="S76" s="356">
        <f t="shared" si="3"/>
        <v>1</v>
      </c>
    </row>
    <row r="77" spans="1:19" x14ac:dyDescent="0.25">
      <c r="A77" s="348">
        <v>31</v>
      </c>
      <c r="B77" s="349" t="str">
        <f>'[1]PLANILHA ORÇAMENTÁRIA'!D282</f>
        <v>INSTALAÇÃO HIDRO-SANITÁRIAS</v>
      </c>
      <c r="C77" s="350">
        <f>'Planilha Orçamentária'!I302*3</f>
        <v>0</v>
      </c>
      <c r="D77" s="351" t="e">
        <f>C77/$C$93</f>
        <v>#DIV/0!</v>
      </c>
      <c r="E77" s="351"/>
      <c r="F77" s="351"/>
      <c r="G77" s="352"/>
      <c r="H77" s="352"/>
      <c r="I77" s="352">
        <f t="shared" ref="I77:O77" si="4">$C$77*I78</f>
        <v>0</v>
      </c>
      <c r="J77" s="352">
        <f t="shared" si="4"/>
        <v>0</v>
      </c>
      <c r="K77" s="352">
        <f t="shared" si="4"/>
        <v>0</v>
      </c>
      <c r="L77" s="352">
        <f t="shared" si="4"/>
        <v>0</v>
      </c>
      <c r="M77" s="352">
        <f t="shared" si="4"/>
        <v>0</v>
      </c>
      <c r="N77" s="352">
        <f t="shared" si="4"/>
        <v>0</v>
      </c>
      <c r="O77" s="352">
        <f t="shared" si="4"/>
        <v>0</v>
      </c>
      <c r="P77" s="352"/>
      <c r="Q77" s="352"/>
      <c r="R77" s="352"/>
      <c r="S77" s="353">
        <f t="shared" si="3"/>
        <v>0</v>
      </c>
    </row>
    <row r="78" spans="1:19" x14ac:dyDescent="0.25">
      <c r="A78" s="348"/>
      <c r="B78" s="349"/>
      <c r="C78" s="350"/>
      <c r="D78" s="351"/>
      <c r="E78" s="351"/>
      <c r="F78" s="351"/>
      <c r="G78" s="355"/>
      <c r="H78" s="355"/>
      <c r="I78" s="354">
        <v>0.1</v>
      </c>
      <c r="J78" s="354">
        <v>0.2</v>
      </c>
      <c r="K78" s="354">
        <v>0.3</v>
      </c>
      <c r="L78" s="354">
        <v>0.1</v>
      </c>
      <c r="M78" s="354">
        <v>0.1</v>
      </c>
      <c r="N78" s="354">
        <v>0.1</v>
      </c>
      <c r="O78" s="354">
        <v>0.1</v>
      </c>
      <c r="P78" s="355"/>
      <c r="Q78" s="355"/>
      <c r="R78" s="355"/>
      <c r="S78" s="356">
        <f t="shared" si="3"/>
        <v>1</v>
      </c>
    </row>
    <row r="79" spans="1:19" x14ac:dyDescent="0.25">
      <c r="A79" s="348">
        <v>32</v>
      </c>
      <c r="B79" s="349" t="str">
        <f>'[1]PLANILHA ORÇAMENTÁRIA'!D303</f>
        <v>APARELHOS HIDRO-SANITÁRIOS</v>
      </c>
      <c r="C79" s="350">
        <f>'Planilha Orçamentária'!I314*3</f>
        <v>0</v>
      </c>
      <c r="D79" s="351" t="e">
        <f>C79/$C$93</f>
        <v>#DIV/0!</v>
      </c>
      <c r="E79" s="351"/>
      <c r="F79" s="351"/>
      <c r="G79" s="352"/>
      <c r="H79" s="352"/>
      <c r="I79" s="352"/>
      <c r="J79" s="352"/>
      <c r="K79" s="352"/>
      <c r="L79" s="352"/>
      <c r="M79" s="352"/>
      <c r="N79" s="352"/>
      <c r="O79" s="352">
        <f>$C$79*O80</f>
        <v>0</v>
      </c>
      <c r="P79" s="352">
        <f>$C$79*P80</f>
        <v>0</v>
      </c>
      <c r="Q79" s="352"/>
      <c r="R79" s="352"/>
      <c r="S79" s="353">
        <f t="shared" si="3"/>
        <v>0</v>
      </c>
    </row>
    <row r="80" spans="1:19" x14ac:dyDescent="0.25">
      <c r="A80" s="348"/>
      <c r="B80" s="349"/>
      <c r="C80" s="350"/>
      <c r="D80" s="351"/>
      <c r="E80" s="351"/>
      <c r="F80" s="351"/>
      <c r="G80" s="355"/>
      <c r="H80" s="355"/>
      <c r="I80" s="355"/>
      <c r="J80" s="355"/>
      <c r="K80" s="355"/>
      <c r="L80" s="355"/>
      <c r="M80" s="355"/>
      <c r="N80" s="355"/>
      <c r="O80" s="354">
        <v>0.5</v>
      </c>
      <c r="P80" s="354">
        <v>0.5</v>
      </c>
      <c r="Q80" s="355"/>
      <c r="R80" s="355"/>
      <c r="S80" s="356">
        <f t="shared" si="3"/>
        <v>1</v>
      </c>
    </row>
    <row r="81" spans="1:19" x14ac:dyDescent="0.25">
      <c r="A81" s="348">
        <v>33</v>
      </c>
      <c r="B81" s="349" t="str">
        <f>'[1]PLANILHA ORÇAMENTÁRIA'!D315</f>
        <v>APARELHOS ELETRICOS</v>
      </c>
      <c r="C81" s="350">
        <f>'Planilha Orçamentária'!I327*3</f>
        <v>0</v>
      </c>
      <c r="D81" s="351" t="e">
        <f>C81/$C$93</f>
        <v>#DIV/0!</v>
      </c>
      <c r="E81" s="351"/>
      <c r="F81" s="351"/>
      <c r="G81" s="352"/>
      <c r="H81" s="352"/>
      <c r="I81" s="352"/>
      <c r="J81" s="352"/>
      <c r="K81" s="352"/>
      <c r="L81" s="352"/>
      <c r="M81" s="352"/>
      <c r="N81" s="352"/>
      <c r="O81" s="352"/>
      <c r="P81" s="352">
        <f>$C$81*P82</f>
        <v>0</v>
      </c>
      <c r="Q81" s="352"/>
      <c r="R81" s="352"/>
      <c r="S81" s="353">
        <f t="shared" si="3"/>
        <v>0</v>
      </c>
    </row>
    <row r="82" spans="1:19" x14ac:dyDescent="0.25">
      <c r="A82" s="348"/>
      <c r="B82" s="349"/>
      <c r="C82" s="350"/>
      <c r="D82" s="351"/>
      <c r="E82" s="351"/>
      <c r="F82" s="351"/>
      <c r="G82" s="355"/>
      <c r="H82" s="355"/>
      <c r="I82" s="355"/>
      <c r="J82" s="355"/>
      <c r="K82" s="355"/>
      <c r="L82" s="355"/>
      <c r="M82" s="355"/>
      <c r="N82" s="355"/>
      <c r="O82" s="355"/>
      <c r="P82" s="354">
        <v>1</v>
      </c>
      <c r="Q82" s="355"/>
      <c r="R82" s="355"/>
      <c r="S82" s="356">
        <f t="shared" si="3"/>
        <v>1</v>
      </c>
    </row>
    <row r="83" spans="1:19" x14ac:dyDescent="0.25">
      <c r="A83" s="348">
        <v>34</v>
      </c>
      <c r="B83" s="349" t="str">
        <f>'[1]PLANILHA ORÇAMENTÁRIA'!D328</f>
        <v>INSTALAÇÃO ELÉTRICA</v>
      </c>
      <c r="C83" s="350">
        <f>'Planilha Orçamentária'!I338*3</f>
        <v>0</v>
      </c>
      <c r="D83" s="351" t="e">
        <f>C83/$C$93</f>
        <v>#DIV/0!</v>
      </c>
      <c r="E83" s="351"/>
      <c r="F83" s="351"/>
      <c r="G83" s="352"/>
      <c r="H83" s="352"/>
      <c r="I83" s="352"/>
      <c r="J83" s="352"/>
      <c r="K83" s="352"/>
      <c r="L83" s="352"/>
      <c r="M83" s="352"/>
      <c r="N83" s="352">
        <f>$C$83*N84</f>
        <v>0</v>
      </c>
      <c r="O83" s="352">
        <f>$C$83*O84</f>
        <v>0</v>
      </c>
      <c r="P83" s="352">
        <f>$C$83*P84</f>
        <v>0</v>
      </c>
      <c r="Q83" s="352">
        <f>$C$83*Q84</f>
        <v>0</v>
      </c>
      <c r="R83" s="352"/>
      <c r="S83" s="353">
        <f t="shared" si="3"/>
        <v>0</v>
      </c>
    </row>
    <row r="84" spans="1:19" x14ac:dyDescent="0.25">
      <c r="A84" s="348"/>
      <c r="B84" s="349"/>
      <c r="C84" s="350"/>
      <c r="D84" s="351"/>
      <c r="E84" s="351"/>
      <c r="F84" s="351"/>
      <c r="G84" s="355"/>
      <c r="H84" s="355"/>
      <c r="I84" s="355"/>
      <c r="J84" s="355"/>
      <c r="K84" s="355"/>
      <c r="L84" s="355"/>
      <c r="M84" s="355"/>
      <c r="N84" s="354">
        <v>0.3</v>
      </c>
      <c r="O84" s="354">
        <v>0.3</v>
      </c>
      <c r="P84" s="354">
        <v>0.3</v>
      </c>
      <c r="Q84" s="354">
        <v>0.1</v>
      </c>
      <c r="R84" s="355"/>
      <c r="S84" s="356">
        <f t="shared" si="3"/>
        <v>1</v>
      </c>
    </row>
    <row r="85" spans="1:19" x14ac:dyDescent="0.25">
      <c r="A85" s="348">
        <v>35</v>
      </c>
      <c r="B85" s="349" t="str">
        <f>'[1]PLANILHA ORÇAMENTÁRIA'!D339</f>
        <v>PINTURA</v>
      </c>
      <c r="C85" s="350">
        <f>'Planilha Orçamentária'!I348*3</f>
        <v>0</v>
      </c>
      <c r="D85" s="351" t="e">
        <f>C85/$C$93</f>
        <v>#DIV/0!</v>
      </c>
      <c r="E85" s="351"/>
      <c r="F85" s="351"/>
      <c r="G85" s="352"/>
      <c r="H85" s="352"/>
      <c r="I85" s="352"/>
      <c r="J85" s="352"/>
      <c r="K85" s="352"/>
      <c r="L85" s="352"/>
      <c r="M85" s="352"/>
      <c r="N85" s="352">
        <f>$C$85*N86</f>
        <v>0</v>
      </c>
      <c r="O85" s="352">
        <f>$C$85*O86</f>
        <v>0</v>
      </c>
      <c r="P85" s="352">
        <f>$C$85*P86</f>
        <v>0</v>
      </c>
      <c r="Q85" s="352">
        <f>$C$85*Q86</f>
        <v>0</v>
      </c>
      <c r="R85" s="352"/>
      <c r="S85" s="353">
        <f t="shared" si="3"/>
        <v>0</v>
      </c>
    </row>
    <row r="86" spans="1:19" x14ac:dyDescent="0.25">
      <c r="A86" s="348"/>
      <c r="B86" s="349"/>
      <c r="C86" s="350"/>
      <c r="D86" s="351"/>
      <c r="E86" s="351"/>
      <c r="F86" s="351"/>
      <c r="G86" s="355"/>
      <c r="H86" s="355"/>
      <c r="I86" s="355"/>
      <c r="J86" s="355"/>
      <c r="K86" s="355"/>
      <c r="L86" s="355"/>
      <c r="M86" s="355"/>
      <c r="N86" s="354">
        <v>0.1</v>
      </c>
      <c r="O86" s="354">
        <v>0.3</v>
      </c>
      <c r="P86" s="354">
        <v>0.3</v>
      </c>
      <c r="Q86" s="354">
        <v>0.3</v>
      </c>
      <c r="R86" s="355"/>
      <c r="S86" s="356">
        <f t="shared" si="3"/>
        <v>1</v>
      </c>
    </row>
    <row r="87" spans="1:19" x14ac:dyDescent="0.25">
      <c r="A87" s="348">
        <v>36</v>
      </c>
      <c r="B87" s="349" t="str">
        <f>'[1]PLANILHA ORÇAMENTÁRIA'!D349</f>
        <v>CALÇADA</v>
      </c>
      <c r="C87" s="350">
        <f>'Planilha Orçamentária'!I358*3</f>
        <v>0</v>
      </c>
      <c r="D87" s="351" t="e">
        <f>C87/$C$93</f>
        <v>#DIV/0!</v>
      </c>
      <c r="E87" s="351"/>
      <c r="F87" s="351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>
        <f>$C$87*Q88</f>
        <v>0</v>
      </c>
      <c r="R87" s="352">
        <f>$C$87*R88</f>
        <v>0</v>
      </c>
      <c r="S87" s="353">
        <f t="shared" si="3"/>
        <v>0</v>
      </c>
    </row>
    <row r="88" spans="1:19" x14ac:dyDescent="0.25">
      <c r="A88" s="348"/>
      <c r="B88" s="349"/>
      <c r="C88" s="350"/>
      <c r="D88" s="351"/>
      <c r="E88" s="351"/>
      <c r="F88" s="351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4">
        <v>0.5</v>
      </c>
      <c r="R88" s="354">
        <v>0.5</v>
      </c>
      <c r="S88" s="356">
        <f t="shared" si="3"/>
        <v>1</v>
      </c>
    </row>
    <row r="89" spans="1:19" ht="25.5" x14ac:dyDescent="0.25">
      <c r="A89" s="348">
        <v>37</v>
      </c>
      <c r="B89" s="349" t="str">
        <f>'[1]PLANILHA ORÇAMENTÁRIA'!D359</f>
        <v>TRATAMENTO, CONSERVAÇÃO E LIMPEZA</v>
      </c>
      <c r="C89" s="350">
        <f>'Planilha Orçamentária'!I362*3</f>
        <v>0</v>
      </c>
      <c r="D89" s="351" t="e">
        <f>C89/$C$93</f>
        <v>#DIV/0!</v>
      </c>
      <c r="E89" s="351"/>
      <c r="F89" s="351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>
        <f>$C$89*R90</f>
        <v>0</v>
      </c>
      <c r="S89" s="353">
        <f t="shared" si="3"/>
        <v>0</v>
      </c>
    </row>
    <row r="90" spans="1:19" x14ac:dyDescent="0.25">
      <c r="A90" s="348"/>
      <c r="B90" s="349"/>
      <c r="C90" s="350"/>
      <c r="D90" s="351"/>
      <c r="E90" s="351"/>
      <c r="F90" s="351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4">
        <v>1</v>
      </c>
      <c r="S90" s="356">
        <f t="shared" si="3"/>
        <v>1</v>
      </c>
    </row>
    <row r="91" spans="1:19" x14ac:dyDescent="0.25">
      <c r="A91" s="348">
        <v>38</v>
      </c>
      <c r="B91" s="349" t="str">
        <f>'Planilha Orçamentária'!D366</f>
        <v xml:space="preserve">TERRAPLANAGEM </v>
      </c>
      <c r="C91" s="350">
        <f>'Planilha Orçamentária'!I367+'Planilha Orçamentária'!I368+'Planilha Orçamentária'!I369+'Planilha Orçamentária'!I370+'Planilha Orçamentária'!I371+'Planilha Orçamentária'!I372+'Planilha Orçamentária'!I373</f>
        <v>0</v>
      </c>
      <c r="D91" s="351" t="e">
        <f>C91/$C$93</f>
        <v>#DIV/0!</v>
      </c>
      <c r="E91" s="352">
        <f>$C$91*E92</f>
        <v>0</v>
      </c>
      <c r="F91" s="352">
        <f>$C$91*F92</f>
        <v>0</v>
      </c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504"/>
      <c r="S91" s="356"/>
    </row>
    <row r="92" spans="1:19" x14ac:dyDescent="0.25">
      <c r="A92" s="348"/>
      <c r="B92" s="349"/>
      <c r="C92" s="350"/>
      <c r="D92" s="351"/>
      <c r="E92" s="354">
        <v>0.5</v>
      </c>
      <c r="F92" s="354">
        <v>0.5</v>
      </c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504"/>
      <c r="S92" s="356"/>
    </row>
    <row r="93" spans="1:19" x14ac:dyDescent="0.25">
      <c r="A93" s="359"/>
      <c r="B93" s="360" t="s">
        <v>322</v>
      </c>
      <c r="C93" s="361">
        <f>SUM(C11:C92)</f>
        <v>0</v>
      </c>
      <c r="D93" s="362" t="e">
        <f>ROUND(SUM(D9:D91),2)</f>
        <v>#DIV/0!</v>
      </c>
      <c r="E93" s="362"/>
      <c r="F93" s="362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</row>
    <row r="94" spans="1:19" x14ac:dyDescent="0.25">
      <c r="A94" s="609" t="s">
        <v>323</v>
      </c>
      <c r="B94" s="609"/>
      <c r="C94" s="609"/>
      <c r="D94" s="364" t="s">
        <v>316</v>
      </c>
      <c r="E94" s="365">
        <f t="shared" ref="E94:F94" si="5">E11+E16+E18+E20+E22+E24+E26+E28+E30+E32+E34+E36+E38+E40+E42+E44+E46+E48+E50+E55+E57+E59+E61+E63+E65+E67+E69+E71+E73+E75+E77+E79+E81+E83+E85+E87+E89+E91</f>
        <v>0</v>
      </c>
      <c r="F94" s="365">
        <f t="shared" si="5"/>
        <v>0</v>
      </c>
      <c r="G94" s="365">
        <f>G11+G16+G18+G20+G22+G24+G26+G28+G30+G32+G34+G36+G38+G40+G42+G44+G46+G48+G50+G55+G57+G59+G61+G63+G65+G67+G69+G71+G73+G75+G77+G79+G81+G83+G85+G87+G89+G91</f>
        <v>0</v>
      </c>
      <c r="H94" s="365">
        <f t="shared" ref="H94:R94" si="6">H11+H16+H18+H20+H22+H24+H26+H28+H30+H32+H34+H36+H38+H40+H42+H44+H46+H48+H50+H55+H57+H59+H61+H63+H65+H67+H69+H71+H73+H75+H77+H79+H81+H83+H85+H87+H89</f>
        <v>0</v>
      </c>
      <c r="I94" s="365">
        <f t="shared" si="6"/>
        <v>0</v>
      </c>
      <c r="J94" s="365">
        <f t="shared" si="6"/>
        <v>0</v>
      </c>
      <c r="K94" s="365">
        <f t="shared" si="6"/>
        <v>0</v>
      </c>
      <c r="L94" s="365">
        <f t="shared" si="6"/>
        <v>0</v>
      </c>
      <c r="M94" s="365">
        <f t="shared" si="6"/>
        <v>0</v>
      </c>
      <c r="N94" s="365">
        <f t="shared" si="6"/>
        <v>0</v>
      </c>
      <c r="O94" s="365">
        <f t="shared" si="6"/>
        <v>0</v>
      </c>
      <c r="P94" s="365">
        <f t="shared" si="6"/>
        <v>0</v>
      </c>
      <c r="Q94" s="365">
        <f t="shared" si="6"/>
        <v>0</v>
      </c>
      <c r="R94" s="365">
        <f t="shared" si="6"/>
        <v>0</v>
      </c>
    </row>
    <row r="95" spans="1:19" x14ac:dyDescent="0.25">
      <c r="A95" s="609" t="s">
        <v>325</v>
      </c>
      <c r="B95" s="609"/>
      <c r="C95" s="609"/>
      <c r="D95" s="366" t="s">
        <v>317</v>
      </c>
      <c r="E95" s="367" t="e">
        <f t="shared" ref="E95:R95" si="7">E94/$C$93</f>
        <v>#DIV/0!</v>
      </c>
      <c r="F95" s="367" t="e">
        <f t="shared" si="7"/>
        <v>#DIV/0!</v>
      </c>
      <c r="G95" s="367" t="e">
        <f t="shared" si="7"/>
        <v>#DIV/0!</v>
      </c>
      <c r="H95" s="367" t="e">
        <f t="shared" si="7"/>
        <v>#DIV/0!</v>
      </c>
      <c r="I95" s="367" t="e">
        <f t="shared" si="7"/>
        <v>#DIV/0!</v>
      </c>
      <c r="J95" s="367" t="e">
        <f t="shared" si="7"/>
        <v>#DIV/0!</v>
      </c>
      <c r="K95" s="367" t="e">
        <f t="shared" si="7"/>
        <v>#DIV/0!</v>
      </c>
      <c r="L95" s="367" t="e">
        <f t="shared" si="7"/>
        <v>#DIV/0!</v>
      </c>
      <c r="M95" s="367" t="e">
        <f t="shared" si="7"/>
        <v>#DIV/0!</v>
      </c>
      <c r="N95" s="367" t="e">
        <f t="shared" si="7"/>
        <v>#DIV/0!</v>
      </c>
      <c r="O95" s="367" t="e">
        <f t="shared" si="7"/>
        <v>#DIV/0!</v>
      </c>
      <c r="P95" s="367" t="e">
        <f t="shared" si="7"/>
        <v>#DIV/0!</v>
      </c>
      <c r="Q95" s="367" t="e">
        <f t="shared" si="7"/>
        <v>#DIV/0!</v>
      </c>
      <c r="R95" s="367" t="e">
        <f t="shared" si="7"/>
        <v>#DIV/0!</v>
      </c>
    </row>
    <row r="96" spans="1:19" x14ac:dyDescent="0.25">
      <c r="A96" s="604" t="s">
        <v>904</v>
      </c>
      <c r="B96" s="604"/>
      <c r="C96" s="604"/>
      <c r="D96" s="368" t="s">
        <v>316</v>
      </c>
      <c r="E96" s="368">
        <f>E94</f>
        <v>0</v>
      </c>
      <c r="F96" s="368">
        <f>E96+F94</f>
        <v>0</v>
      </c>
      <c r="G96" s="368">
        <f t="shared" ref="G96:Q96" si="8">F96+G94</f>
        <v>0</v>
      </c>
      <c r="H96" s="368">
        <f t="shared" si="8"/>
        <v>0</v>
      </c>
      <c r="I96" s="368">
        <f t="shared" si="8"/>
        <v>0</v>
      </c>
      <c r="J96" s="368">
        <f t="shared" si="8"/>
        <v>0</v>
      </c>
      <c r="K96" s="368">
        <f t="shared" si="8"/>
        <v>0</v>
      </c>
      <c r="L96" s="368">
        <f t="shared" si="8"/>
        <v>0</v>
      </c>
      <c r="M96" s="368">
        <f t="shared" si="8"/>
        <v>0</v>
      </c>
      <c r="N96" s="368">
        <f t="shared" si="8"/>
        <v>0</v>
      </c>
      <c r="O96" s="368">
        <f t="shared" si="8"/>
        <v>0</v>
      </c>
      <c r="P96" s="368">
        <f t="shared" si="8"/>
        <v>0</v>
      </c>
      <c r="Q96" s="368">
        <f t="shared" si="8"/>
        <v>0</v>
      </c>
      <c r="R96" s="368">
        <f>Q96+R94-0.07</f>
        <v>-7.0000000000000007E-2</v>
      </c>
    </row>
    <row r="97" spans="1:18" x14ac:dyDescent="0.25">
      <c r="A97" s="604" t="s">
        <v>905</v>
      </c>
      <c r="B97" s="604"/>
      <c r="C97" s="604"/>
      <c r="D97" s="369" t="s">
        <v>317</v>
      </c>
      <c r="E97" s="370" t="e">
        <f t="shared" ref="E97:R97" si="9">E96/$C$93</f>
        <v>#DIV/0!</v>
      </c>
      <c r="F97" s="370" t="e">
        <f t="shared" si="9"/>
        <v>#DIV/0!</v>
      </c>
      <c r="G97" s="370" t="e">
        <f t="shared" si="9"/>
        <v>#DIV/0!</v>
      </c>
      <c r="H97" s="370" t="e">
        <f t="shared" si="9"/>
        <v>#DIV/0!</v>
      </c>
      <c r="I97" s="370" t="e">
        <f t="shared" si="9"/>
        <v>#DIV/0!</v>
      </c>
      <c r="J97" s="370" t="e">
        <f t="shared" si="9"/>
        <v>#DIV/0!</v>
      </c>
      <c r="K97" s="370" t="e">
        <f t="shared" si="9"/>
        <v>#DIV/0!</v>
      </c>
      <c r="L97" s="370" t="e">
        <f t="shared" si="9"/>
        <v>#DIV/0!</v>
      </c>
      <c r="M97" s="370" t="e">
        <f t="shared" si="9"/>
        <v>#DIV/0!</v>
      </c>
      <c r="N97" s="370" t="e">
        <f t="shared" si="9"/>
        <v>#DIV/0!</v>
      </c>
      <c r="O97" s="370" t="e">
        <f t="shared" si="9"/>
        <v>#DIV/0!</v>
      </c>
      <c r="P97" s="370" t="e">
        <f t="shared" si="9"/>
        <v>#DIV/0!</v>
      </c>
      <c r="Q97" s="370" t="e">
        <f t="shared" si="9"/>
        <v>#DIV/0!</v>
      </c>
      <c r="R97" s="371" t="e">
        <f t="shared" si="9"/>
        <v>#DIV/0!</v>
      </c>
    </row>
  </sheetData>
  <mergeCells count="14">
    <mergeCell ref="A1:R1"/>
    <mergeCell ref="A2:R2"/>
    <mergeCell ref="A4:R4"/>
    <mergeCell ref="A6:A7"/>
    <mergeCell ref="B6:B7"/>
    <mergeCell ref="C6:D6"/>
    <mergeCell ref="G6:R6"/>
    <mergeCell ref="A97:C97"/>
    <mergeCell ref="A9:R9"/>
    <mergeCell ref="A14:R14"/>
    <mergeCell ref="A53:R53"/>
    <mergeCell ref="A94:C94"/>
    <mergeCell ref="A95:C95"/>
    <mergeCell ref="A96:C96"/>
  </mergeCells>
  <phoneticPr fontId="17" type="noConversion"/>
  <printOptions horizontalCentered="1"/>
  <pageMargins left="0.39370078740157483" right="0.39370078740157483" top="0.78740157480314965" bottom="0.78740157480314965" header="0" footer="0"/>
  <pageSetup paperSize="9" scale="56" fitToHeight="0" orientation="landscape" verticalDpi="300" r:id="rId1"/>
  <headerFooter>
    <oddFooter>&amp;C&amp;P/&amp;N&amp;R&amp;F</oddFooter>
  </headerFooter>
  <rowBreaks count="1" manualBreakCount="1">
    <brk id="5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1"/>
  <sheetViews>
    <sheetView showGridLines="0" view="pageBreakPreview" topLeftCell="A10" zoomScale="85" zoomScaleNormal="85" zoomScaleSheetLayoutView="85" workbookViewId="0">
      <selection activeCell="F22" sqref="F22:F24"/>
    </sheetView>
  </sheetViews>
  <sheetFormatPr defaultRowHeight="15" x14ac:dyDescent="0.25"/>
  <cols>
    <col min="1" max="1" width="30.7109375" style="246" customWidth="1"/>
    <col min="2" max="2" width="11.7109375" style="246" customWidth="1"/>
    <col min="3" max="3" width="11.5703125" style="246" customWidth="1"/>
    <col min="4" max="6" width="9.7109375" style="246" customWidth="1"/>
    <col min="7" max="7" width="10.28515625" style="246" customWidth="1"/>
    <col min="8" max="8" width="10.42578125" style="246" customWidth="1"/>
    <col min="9" max="9" width="11.7109375" style="246" customWidth="1"/>
    <col min="10" max="13" width="0" style="255" hidden="1" customWidth="1"/>
    <col min="14" max="16384" width="9.140625" style="255"/>
  </cols>
  <sheetData>
    <row r="1" spans="1:9" s="247" customFormat="1" ht="83.25" customHeight="1" x14ac:dyDescent="0.2">
      <c r="A1" s="267"/>
      <c r="B1" s="267"/>
      <c r="C1" s="267"/>
      <c r="D1" s="267"/>
      <c r="E1" s="267"/>
      <c r="F1" s="267"/>
      <c r="G1" s="279"/>
      <c r="H1" s="267"/>
      <c r="I1" s="259"/>
    </row>
    <row r="2" spans="1:9" s="247" customFormat="1" ht="27.75" customHeight="1" thickBot="1" x14ac:dyDescent="0.25">
      <c r="A2" s="615" t="s">
        <v>888</v>
      </c>
      <c r="B2" s="615"/>
      <c r="C2" s="615"/>
      <c r="D2" s="615"/>
      <c r="E2" s="615"/>
      <c r="F2" s="615"/>
      <c r="G2" s="615"/>
      <c r="H2" s="615"/>
      <c r="I2" s="615"/>
    </row>
    <row r="3" spans="1:9" s="247" customFormat="1" ht="18" customHeight="1" x14ac:dyDescent="0.2">
      <c r="A3" s="273" t="s">
        <v>906</v>
      </c>
      <c r="B3" s="270"/>
      <c r="C3" s="271"/>
      <c r="D3" s="271"/>
      <c r="E3" s="271"/>
      <c r="F3" s="272"/>
      <c r="G3" s="616" t="s">
        <v>598</v>
      </c>
      <c r="H3" s="617"/>
      <c r="I3" s="276">
        <v>44562</v>
      </c>
    </row>
    <row r="4" spans="1:9" s="247" customFormat="1" ht="18" customHeight="1" x14ac:dyDescent="0.2">
      <c r="A4" s="618" t="s">
        <v>747</v>
      </c>
      <c r="B4" s="619"/>
      <c r="C4" s="619"/>
      <c r="D4" s="619"/>
      <c r="E4" s="619"/>
      <c r="F4" s="620"/>
      <c r="G4" s="621" t="s">
        <v>413</v>
      </c>
      <c r="H4" s="622"/>
      <c r="I4" s="375">
        <v>0.3196</v>
      </c>
    </row>
    <row r="5" spans="1:9" s="247" customFormat="1" ht="9.9499999999999993" customHeight="1" x14ac:dyDescent="0.2">
      <c r="A5" s="248"/>
      <c r="B5" s="249"/>
      <c r="C5" s="249"/>
      <c r="D5" s="249"/>
      <c r="E5" s="249"/>
      <c r="F5" s="249"/>
      <c r="G5" s="277"/>
      <c r="H5" s="277"/>
      <c r="I5" s="278"/>
    </row>
    <row r="6" spans="1:9" s="251" customFormat="1" x14ac:dyDescent="0.2">
      <c r="A6" s="635" t="s">
        <v>423</v>
      </c>
      <c r="B6" s="635"/>
      <c r="C6" s="635"/>
      <c r="D6" s="635"/>
      <c r="E6" s="635"/>
      <c r="F6" s="635"/>
      <c r="G6" s="635"/>
      <c r="H6" s="635"/>
      <c r="I6" s="635"/>
    </row>
    <row r="7" spans="1:9" s="251" customFormat="1" ht="30" customHeight="1" x14ac:dyDescent="0.2">
      <c r="A7" s="280" t="s">
        <v>424</v>
      </c>
      <c r="B7" s="636" t="s">
        <v>991</v>
      </c>
      <c r="C7" s="636"/>
      <c r="D7" s="636"/>
      <c r="E7" s="636"/>
      <c r="F7" s="636"/>
      <c r="G7" s="636"/>
      <c r="H7" s="636"/>
      <c r="I7" s="636"/>
    </row>
    <row r="8" spans="1:9" s="251" customFormat="1" ht="25.5" customHeight="1" x14ac:dyDescent="0.2">
      <c r="A8" s="281" t="s">
        <v>425</v>
      </c>
      <c r="B8" s="637" t="s">
        <v>590</v>
      </c>
      <c r="C8" s="638"/>
      <c r="D8" s="638"/>
      <c r="E8" s="638"/>
      <c r="F8" s="638"/>
      <c r="G8" s="638"/>
      <c r="H8" s="638"/>
      <c r="I8" s="638"/>
    </row>
    <row r="9" spans="1:9" s="251" customFormat="1" ht="45" customHeight="1" x14ac:dyDescent="0.2">
      <c r="A9" s="281" t="s">
        <v>426</v>
      </c>
      <c r="B9" s="639" t="s">
        <v>875</v>
      </c>
      <c r="C9" s="639"/>
      <c r="D9" s="639"/>
      <c r="E9" s="639"/>
      <c r="F9" s="639"/>
      <c r="G9" s="639"/>
      <c r="H9" s="639"/>
      <c r="I9" s="639"/>
    </row>
    <row r="10" spans="1:9" s="252" customFormat="1" ht="15" customHeight="1" thickBot="1" x14ac:dyDescent="0.25">
      <c r="A10" s="282" t="s">
        <v>427</v>
      </c>
      <c r="B10" s="626" t="s">
        <v>428</v>
      </c>
      <c r="C10" s="627"/>
      <c r="D10" s="627"/>
      <c r="E10" s="627"/>
      <c r="F10" s="627"/>
      <c r="G10" s="627"/>
      <c r="H10" s="627"/>
      <c r="I10" s="628"/>
    </row>
    <row r="11" spans="1:9" s="252" customFormat="1" ht="15" customHeight="1" x14ac:dyDescent="0.2">
      <c r="A11" s="629" t="s">
        <v>429</v>
      </c>
      <c r="B11" s="631" t="s">
        <v>430</v>
      </c>
      <c r="C11" s="631" t="s">
        <v>394</v>
      </c>
      <c r="D11" s="633" t="s">
        <v>431</v>
      </c>
      <c r="E11" s="631" t="s">
        <v>432</v>
      </c>
      <c r="F11" s="631" t="s">
        <v>433</v>
      </c>
      <c r="G11" s="631" t="s">
        <v>434</v>
      </c>
      <c r="H11" s="631" t="s">
        <v>435</v>
      </c>
      <c r="I11" s="631" t="s">
        <v>436</v>
      </c>
    </row>
    <row r="12" spans="1:9" s="251" customFormat="1" ht="15" customHeight="1" thickBot="1" x14ac:dyDescent="0.25">
      <c r="A12" s="630"/>
      <c r="B12" s="632"/>
      <c r="C12" s="632"/>
      <c r="D12" s="634"/>
      <c r="E12" s="632"/>
      <c r="F12" s="632"/>
      <c r="G12" s="632"/>
      <c r="H12" s="632"/>
      <c r="I12" s="632"/>
    </row>
    <row r="13" spans="1:9" s="251" customFormat="1" ht="15" customHeight="1" x14ac:dyDescent="0.2">
      <c r="A13" s="624" t="s">
        <v>437</v>
      </c>
      <c r="B13" s="624"/>
      <c r="C13" s="624"/>
      <c r="D13" s="624"/>
      <c r="E13" s="624"/>
      <c r="F13" s="624"/>
      <c r="G13" s="624"/>
      <c r="H13" s="624"/>
      <c r="I13" s="624"/>
    </row>
    <row r="14" spans="1:9" s="251" customFormat="1" ht="21" customHeight="1" x14ac:dyDescent="0.2">
      <c r="A14" s="283" t="s">
        <v>455</v>
      </c>
      <c r="B14" s="284" t="s">
        <v>438</v>
      </c>
      <c r="C14" s="284">
        <v>10139</v>
      </c>
      <c r="D14" s="285">
        <v>0.253</v>
      </c>
      <c r="E14" s="284">
        <v>1</v>
      </c>
      <c r="F14" s="311"/>
      <c r="G14" s="284">
        <v>0</v>
      </c>
      <c r="H14" s="286">
        <f>F14*2.5727</f>
        <v>0</v>
      </c>
      <c r="I14" s="286">
        <f>D14*H14</f>
        <v>0</v>
      </c>
    </row>
    <row r="15" spans="1:9" s="251" customFormat="1" ht="19.5" customHeight="1" x14ac:dyDescent="0.2">
      <c r="A15" s="283" t="s">
        <v>456</v>
      </c>
      <c r="B15" s="284" t="s">
        <v>438</v>
      </c>
      <c r="C15" s="284">
        <v>10146</v>
      </c>
      <c r="D15" s="285">
        <v>0.126</v>
      </c>
      <c r="E15" s="284">
        <v>1</v>
      </c>
      <c r="F15" s="311"/>
      <c r="G15" s="284">
        <v>0</v>
      </c>
      <c r="H15" s="286">
        <f>F15*2.5727</f>
        <v>0</v>
      </c>
      <c r="I15" s="286">
        <f>D15*H15</f>
        <v>0</v>
      </c>
    </row>
    <row r="16" spans="1:9" s="251" customFormat="1" ht="15" customHeight="1" thickBot="1" x14ac:dyDescent="0.25">
      <c r="A16" s="312"/>
      <c r="B16" s="313"/>
      <c r="C16" s="313"/>
      <c r="D16" s="314"/>
      <c r="E16" s="314"/>
      <c r="F16" s="314"/>
      <c r="G16" s="315"/>
      <c r="H16" s="287" t="s">
        <v>436</v>
      </c>
      <c r="I16" s="288">
        <f>SUM(I14:I15)</f>
        <v>0</v>
      </c>
    </row>
    <row r="17" spans="1:13" s="251" customFormat="1" ht="15" customHeight="1" x14ac:dyDescent="0.2">
      <c r="A17" s="625" t="s">
        <v>439</v>
      </c>
      <c r="B17" s="625"/>
      <c r="C17" s="625"/>
      <c r="D17" s="625"/>
      <c r="E17" s="625"/>
      <c r="F17" s="625"/>
      <c r="G17" s="625"/>
      <c r="H17" s="625"/>
      <c r="I17" s="625"/>
    </row>
    <row r="18" spans="1:13" s="251" customFormat="1" ht="38.25" customHeight="1" x14ac:dyDescent="0.2">
      <c r="A18" s="283" t="s">
        <v>467</v>
      </c>
      <c r="B18" s="284" t="s">
        <v>454</v>
      </c>
      <c r="C18" s="284" t="s">
        <v>468</v>
      </c>
      <c r="D18" s="285">
        <v>2.5640999999999998</v>
      </c>
      <c r="E18" s="284">
        <v>1</v>
      </c>
      <c r="F18" s="311"/>
      <c r="G18" s="284">
        <v>0</v>
      </c>
      <c r="H18" s="286">
        <f>F18</f>
        <v>0</v>
      </c>
      <c r="I18" s="286">
        <f>D18*H18</f>
        <v>0</v>
      </c>
      <c r="J18" s="251">
        <f>1/0.19</f>
        <v>5.2631578947368398</v>
      </c>
    </row>
    <row r="19" spans="1:13" s="251" customFormat="1" ht="15" customHeight="1" thickBot="1" x14ac:dyDescent="0.25">
      <c r="A19" s="316"/>
      <c r="B19" s="317"/>
      <c r="C19" s="317"/>
      <c r="D19" s="317"/>
      <c r="E19" s="317"/>
      <c r="F19" s="317"/>
      <c r="G19" s="318"/>
      <c r="H19" s="289" t="s">
        <v>436</v>
      </c>
      <c r="I19" s="290">
        <f>SUM(I18:I18)</f>
        <v>0</v>
      </c>
    </row>
    <row r="20" spans="1:13" s="251" customFormat="1" ht="15" customHeight="1" x14ac:dyDescent="0.2">
      <c r="A20" s="625" t="s">
        <v>412</v>
      </c>
      <c r="B20" s="625"/>
      <c r="C20" s="625"/>
      <c r="D20" s="625"/>
      <c r="E20" s="625"/>
      <c r="F20" s="625"/>
      <c r="G20" s="625"/>
      <c r="H20" s="625"/>
      <c r="I20" s="625"/>
    </row>
    <row r="21" spans="1:13" s="251" customFormat="1" ht="102" x14ac:dyDescent="0.2">
      <c r="A21" s="283" t="s">
        <v>889</v>
      </c>
      <c r="B21" s="284" t="s">
        <v>441</v>
      </c>
      <c r="C21" s="284" t="s">
        <v>458</v>
      </c>
      <c r="D21" s="284">
        <v>1.4E-3</v>
      </c>
      <c r="E21" s="284">
        <v>1</v>
      </c>
      <c r="F21" s="311"/>
      <c r="G21" s="284">
        <v>0</v>
      </c>
      <c r="H21" s="245">
        <f>F21</f>
        <v>0</v>
      </c>
      <c r="I21" s="286">
        <f>D21*H21</f>
        <v>0</v>
      </c>
    </row>
    <row r="22" spans="1:13" s="251" customFormat="1" ht="51" x14ac:dyDescent="0.2">
      <c r="A22" s="283" t="s">
        <v>382</v>
      </c>
      <c r="B22" s="284" t="s">
        <v>454</v>
      </c>
      <c r="C22" s="284">
        <v>40322</v>
      </c>
      <c r="D22" s="284">
        <v>1.14E-2</v>
      </c>
      <c r="E22" s="291">
        <v>1</v>
      </c>
      <c r="F22" s="311"/>
      <c r="G22" s="284">
        <v>0</v>
      </c>
      <c r="H22" s="286">
        <f t="shared" ref="H22:H24" si="0">F22</f>
        <v>0</v>
      </c>
      <c r="I22" s="286">
        <f>D22*H22</f>
        <v>0</v>
      </c>
    </row>
    <row r="23" spans="1:13" s="251" customFormat="1" ht="89.25" x14ac:dyDescent="0.2">
      <c r="A23" s="283" t="s">
        <v>422</v>
      </c>
      <c r="B23" s="284" t="s">
        <v>453</v>
      </c>
      <c r="C23" s="284">
        <v>50501</v>
      </c>
      <c r="D23" s="284">
        <f>1*0.19</f>
        <v>0.19</v>
      </c>
      <c r="E23" s="291">
        <v>1</v>
      </c>
      <c r="F23" s="311"/>
      <c r="G23" s="284">
        <v>0</v>
      </c>
      <c r="H23" s="286">
        <f t="shared" si="0"/>
        <v>0</v>
      </c>
      <c r="I23" s="286">
        <f>D23*H23</f>
        <v>0</v>
      </c>
    </row>
    <row r="24" spans="1:13" s="251" customFormat="1" ht="63.75" x14ac:dyDescent="0.2">
      <c r="A24" s="283" t="s">
        <v>460</v>
      </c>
      <c r="B24" s="284" t="s">
        <v>440</v>
      </c>
      <c r="C24" s="284" t="s">
        <v>461</v>
      </c>
      <c r="D24" s="284">
        <f>((0.18+0.9+0.18)*5*0.393)+0.79</f>
        <v>3.2658999999999998</v>
      </c>
      <c r="E24" s="284">
        <v>1</v>
      </c>
      <c r="F24" s="311"/>
      <c r="G24" s="284">
        <v>0</v>
      </c>
      <c r="H24" s="286">
        <f t="shared" si="0"/>
        <v>0</v>
      </c>
      <c r="I24" s="286">
        <f>D24*H24</f>
        <v>0</v>
      </c>
      <c r="K24" s="251">
        <f>0.1*0.1*3.14</f>
        <v>3.1399999999999997E-2</v>
      </c>
      <c r="L24" s="253">
        <f>(0.2+0.1+0.1)*(0.2+0.1)</f>
        <v>0.12</v>
      </c>
      <c r="M24" s="253">
        <f>L24-K24</f>
        <v>8.8599999999999998E-2</v>
      </c>
    </row>
    <row r="25" spans="1:13" s="251" customFormat="1" ht="15" customHeight="1" thickBot="1" x14ac:dyDescent="0.25">
      <c r="A25" s="316"/>
      <c r="B25" s="317"/>
      <c r="C25" s="317"/>
      <c r="D25" s="317"/>
      <c r="E25" s="317"/>
      <c r="F25" s="317"/>
      <c r="G25" s="318"/>
      <c r="H25" s="289" t="s">
        <v>436</v>
      </c>
      <c r="I25" s="290">
        <f>SUM(I21:I24)</f>
        <v>0</v>
      </c>
    </row>
    <row r="26" spans="1:13" s="251" customFormat="1" ht="10.5" customHeight="1" thickBot="1" x14ac:dyDescent="0.25">
      <c r="A26" s="292"/>
      <c r="B26" s="293"/>
      <c r="C26" s="293"/>
      <c r="D26" s="293"/>
      <c r="E26" s="293"/>
      <c r="F26" s="293"/>
      <c r="G26" s="293"/>
      <c r="H26" s="293"/>
      <c r="I26" s="294"/>
    </row>
    <row r="27" spans="1:13" s="251" customFormat="1" ht="15" customHeight="1" x14ac:dyDescent="0.2">
      <c r="A27" s="295" t="s">
        <v>442</v>
      </c>
      <c r="B27" s="296"/>
      <c r="C27" s="297"/>
      <c r="D27" s="293"/>
      <c r="E27" s="298"/>
      <c r="F27" s="298"/>
      <c r="G27" s="298"/>
      <c r="H27" s="298"/>
      <c r="I27" s="294"/>
    </row>
    <row r="28" spans="1:13" s="251" customFormat="1" ht="15" customHeight="1" x14ac:dyDescent="0.2">
      <c r="A28" s="299" t="s">
        <v>443</v>
      </c>
      <c r="B28" s="300" t="s">
        <v>444</v>
      </c>
      <c r="C28" s="301" t="s">
        <v>445</v>
      </c>
      <c r="D28" s="293"/>
      <c r="E28" s="298"/>
      <c r="F28" s="298"/>
      <c r="G28" s="298"/>
      <c r="H28" s="298"/>
      <c r="I28" s="294"/>
    </row>
    <row r="29" spans="1:13" s="251" customFormat="1" ht="15" customHeight="1" x14ac:dyDescent="0.2">
      <c r="A29" s="299" t="s">
        <v>446</v>
      </c>
      <c r="B29" s="302">
        <v>1.5727</v>
      </c>
      <c r="C29" s="303">
        <f>I16</f>
        <v>0</v>
      </c>
      <c r="D29" s="293"/>
      <c r="E29" s="298"/>
      <c r="F29" s="298"/>
      <c r="G29" s="298"/>
      <c r="H29" s="298"/>
      <c r="I29" s="294"/>
    </row>
    <row r="30" spans="1:13" s="251" customFormat="1" ht="15" customHeight="1" x14ac:dyDescent="0.2">
      <c r="A30" s="299" t="s">
        <v>447</v>
      </c>
      <c r="B30" s="304"/>
      <c r="C30" s="303">
        <f>I19</f>
        <v>0</v>
      </c>
      <c r="D30" s="293"/>
      <c r="E30" s="298"/>
      <c r="F30" s="298"/>
      <c r="G30" s="298"/>
      <c r="H30" s="298"/>
      <c r="I30" s="294"/>
    </row>
    <row r="31" spans="1:13" s="251" customFormat="1" ht="15" customHeight="1" x14ac:dyDescent="0.2">
      <c r="A31" s="299" t="s">
        <v>448</v>
      </c>
      <c r="B31" s="304"/>
      <c r="C31" s="305">
        <v>0</v>
      </c>
      <c r="D31" s="293"/>
      <c r="E31" s="298"/>
      <c r="F31" s="298"/>
      <c r="G31" s="298"/>
      <c r="H31" s="298"/>
      <c r="I31" s="294"/>
    </row>
    <row r="32" spans="1:13" s="251" customFormat="1" ht="15" customHeight="1" x14ac:dyDescent="0.2">
      <c r="A32" s="299" t="s">
        <v>449</v>
      </c>
      <c r="B32" s="304"/>
      <c r="C32" s="305">
        <v>1</v>
      </c>
      <c r="D32" s="293"/>
      <c r="E32" s="298"/>
      <c r="F32" s="298"/>
      <c r="G32" s="298"/>
      <c r="H32" s="298"/>
      <c r="I32" s="294"/>
    </row>
    <row r="33" spans="1:9" s="251" customFormat="1" ht="15" customHeight="1" x14ac:dyDescent="0.2">
      <c r="A33" s="299" t="s">
        <v>462</v>
      </c>
      <c r="B33" s="304"/>
      <c r="C33" s="303">
        <f>I25</f>
        <v>0</v>
      </c>
      <c r="D33" s="293"/>
      <c r="E33" s="298"/>
      <c r="F33" s="298"/>
      <c r="G33" s="298"/>
      <c r="H33" s="298"/>
      <c r="I33" s="294"/>
    </row>
    <row r="34" spans="1:9" s="251" customFormat="1" ht="15" customHeight="1" x14ac:dyDescent="0.2">
      <c r="A34" s="299" t="s">
        <v>450</v>
      </c>
      <c r="B34" s="304"/>
      <c r="C34" s="303">
        <f>C29+C31</f>
        <v>0</v>
      </c>
      <c r="D34" s="293"/>
      <c r="E34" s="298"/>
      <c r="F34" s="298"/>
      <c r="G34" s="298"/>
      <c r="H34" s="298"/>
      <c r="I34" s="294"/>
    </row>
    <row r="35" spans="1:9" s="251" customFormat="1" ht="30" customHeight="1" x14ac:dyDescent="0.2">
      <c r="A35" s="306" t="s">
        <v>451</v>
      </c>
      <c r="B35" s="304"/>
      <c r="C35" s="303">
        <f>(C29+C31)/C32</f>
        <v>0</v>
      </c>
      <c r="D35" s="293"/>
      <c r="E35" s="298"/>
      <c r="F35" s="298"/>
      <c r="G35" s="298"/>
      <c r="H35" s="298"/>
      <c r="I35" s="294"/>
    </row>
    <row r="36" spans="1:9" s="251" customFormat="1" ht="15" customHeight="1" thickBot="1" x14ac:dyDescent="0.25">
      <c r="A36" s="299" t="s">
        <v>463</v>
      </c>
      <c r="B36" s="304"/>
      <c r="C36" s="303">
        <f>C30+C35+C33</f>
        <v>0</v>
      </c>
      <c r="D36" s="293"/>
      <c r="E36" s="293"/>
      <c r="F36" s="293"/>
      <c r="G36" s="293"/>
      <c r="H36" s="293"/>
      <c r="I36" s="294"/>
    </row>
    <row r="37" spans="1:9" s="254" customFormat="1" ht="21" customHeight="1" thickBot="1" x14ac:dyDescent="0.3">
      <c r="A37" s="307" t="s">
        <v>464</v>
      </c>
      <c r="B37" s="309"/>
      <c r="C37" s="310">
        <f>C36</f>
        <v>0</v>
      </c>
      <c r="D37" s="293"/>
      <c r="E37" s="308"/>
      <c r="F37" s="293"/>
      <c r="G37" s="293"/>
      <c r="H37" s="293"/>
      <c r="I37" s="294"/>
    </row>
    <row r="38" spans="1:9" s="251" customFormat="1" ht="10.5" customHeight="1" thickBot="1" x14ac:dyDescent="0.25">
      <c r="A38" s="292"/>
      <c r="B38" s="293"/>
      <c r="C38" s="293"/>
      <c r="D38" s="293"/>
      <c r="E38" s="293"/>
      <c r="F38" s="293"/>
      <c r="G38" s="293"/>
      <c r="H38" s="293"/>
      <c r="I38" s="294"/>
    </row>
    <row r="39" spans="1:9" s="251" customFormat="1" ht="15" customHeight="1" x14ac:dyDescent="0.2">
      <c r="A39" s="600" t="s">
        <v>452</v>
      </c>
      <c r="B39" s="600"/>
      <c r="C39" s="600"/>
      <c r="D39" s="600"/>
      <c r="E39" s="600"/>
      <c r="F39" s="600"/>
      <c r="G39" s="600"/>
      <c r="H39" s="600"/>
      <c r="I39" s="600"/>
    </row>
    <row r="40" spans="1:9" s="251" customFormat="1" ht="28.5" customHeight="1" x14ac:dyDescent="0.2">
      <c r="A40" s="623" t="s">
        <v>987</v>
      </c>
      <c r="B40" s="623"/>
      <c r="C40" s="623"/>
      <c r="D40" s="623"/>
      <c r="E40" s="623"/>
      <c r="F40" s="623"/>
      <c r="G40" s="623"/>
      <c r="H40" s="623"/>
      <c r="I40" s="623"/>
    </row>
    <row r="41" spans="1:9" s="251" customFormat="1" ht="30.75" customHeight="1" x14ac:dyDescent="0.2">
      <c r="A41" s="623" t="s">
        <v>960</v>
      </c>
      <c r="B41" s="623"/>
      <c r="C41" s="623"/>
      <c r="D41" s="623"/>
      <c r="E41" s="623"/>
      <c r="F41" s="623"/>
      <c r="G41" s="623"/>
      <c r="H41" s="623"/>
      <c r="I41" s="623"/>
    </row>
  </sheetData>
  <mergeCells count="24">
    <mergeCell ref="F11:F12"/>
    <mergeCell ref="G11:G12"/>
    <mergeCell ref="H11:H12"/>
    <mergeCell ref="I11:I12"/>
    <mergeCell ref="A6:I6"/>
    <mergeCell ref="B7:I7"/>
    <mergeCell ref="B8:I8"/>
    <mergeCell ref="B9:I9"/>
    <mergeCell ref="A2:I2"/>
    <mergeCell ref="G3:H3"/>
    <mergeCell ref="A4:F4"/>
    <mergeCell ref="G4:H4"/>
    <mergeCell ref="A41:I41"/>
    <mergeCell ref="A13:I13"/>
    <mergeCell ref="A17:I17"/>
    <mergeCell ref="A20:I20"/>
    <mergeCell ref="A39:I39"/>
    <mergeCell ref="A40:I40"/>
    <mergeCell ref="B10:I10"/>
    <mergeCell ref="A11:A12"/>
    <mergeCell ref="B11:B12"/>
    <mergeCell ref="C11:C12"/>
    <mergeCell ref="D11:D12"/>
    <mergeCell ref="E11:E12"/>
  </mergeCells>
  <printOptions horizontalCentered="1"/>
  <pageMargins left="0.98425196850393704" right="0.39370078740157483" top="0.59055118110236227" bottom="0.78740157480314965" header="0" footer="0"/>
  <pageSetup paperSize="9"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41"/>
  <sheetViews>
    <sheetView view="pageBreakPreview" topLeftCell="A13" zoomScale="85" zoomScaleNormal="85" zoomScaleSheetLayoutView="85" workbookViewId="0">
      <selection activeCell="Q36" sqref="Q36"/>
    </sheetView>
  </sheetViews>
  <sheetFormatPr defaultRowHeight="15" x14ac:dyDescent="0.25"/>
  <cols>
    <col min="1" max="1" width="31.28515625" style="251" customWidth="1"/>
    <col min="2" max="2" width="11.7109375" style="251" customWidth="1"/>
    <col min="3" max="3" width="11.5703125" style="251" customWidth="1"/>
    <col min="4" max="6" width="9.7109375" style="251" customWidth="1"/>
    <col min="7" max="7" width="10.28515625" style="251" customWidth="1"/>
    <col min="8" max="8" width="10.42578125" style="251" customWidth="1"/>
    <col min="9" max="9" width="11.7109375" style="251" customWidth="1"/>
    <col min="10" max="13" width="0" style="255" hidden="1" customWidth="1"/>
    <col min="14" max="16384" width="9.140625" style="255"/>
  </cols>
  <sheetData>
    <row r="1" spans="1:26" s="247" customFormat="1" ht="83.25" customHeight="1" x14ac:dyDescent="0.25">
      <c r="A1" s="268"/>
      <c r="B1" s="268"/>
      <c r="C1" s="268"/>
      <c r="D1" s="268"/>
      <c r="E1" s="268"/>
      <c r="F1" s="268"/>
      <c r="G1" s="269"/>
      <c r="H1" s="268"/>
      <c r="I1"/>
    </row>
    <row r="2" spans="1:26" s="247" customFormat="1" ht="27.75" customHeight="1" thickBot="1" x14ac:dyDescent="0.25">
      <c r="A2" s="640" t="s">
        <v>888</v>
      </c>
      <c r="B2" s="640"/>
      <c r="C2" s="640"/>
      <c r="D2" s="640"/>
      <c r="E2" s="640"/>
      <c r="F2" s="640"/>
      <c r="G2" s="640"/>
      <c r="H2" s="640"/>
      <c r="I2" s="640"/>
    </row>
    <row r="3" spans="1:26" s="247" customFormat="1" ht="18" customHeight="1" x14ac:dyDescent="0.2">
      <c r="A3" s="273" t="s">
        <v>906</v>
      </c>
      <c r="B3" s="270"/>
      <c r="C3" s="271"/>
      <c r="D3" s="271"/>
      <c r="E3" s="271"/>
      <c r="F3" s="272"/>
      <c r="G3" s="641" t="s">
        <v>598</v>
      </c>
      <c r="H3" s="642"/>
      <c r="I3" s="275">
        <v>44562</v>
      </c>
    </row>
    <row r="4" spans="1:26" s="247" customFormat="1" ht="18" customHeight="1" x14ac:dyDescent="0.2">
      <c r="A4" s="618" t="s">
        <v>747</v>
      </c>
      <c r="B4" s="619"/>
      <c r="C4" s="619"/>
      <c r="D4" s="619"/>
      <c r="E4" s="619"/>
      <c r="F4" s="620"/>
      <c r="G4" s="643" t="s">
        <v>413</v>
      </c>
      <c r="H4" s="644"/>
      <c r="I4" s="376">
        <v>0.3196</v>
      </c>
    </row>
    <row r="5" spans="1:26" s="247" customFormat="1" ht="9.9499999999999993" customHeight="1" x14ac:dyDescent="0.2">
      <c r="A5" s="248"/>
      <c r="B5" s="249"/>
      <c r="C5" s="249"/>
      <c r="D5" s="249"/>
      <c r="E5" s="249"/>
      <c r="F5" s="249"/>
      <c r="G5" s="274"/>
      <c r="H5" s="274"/>
      <c r="I5" s="250"/>
    </row>
    <row r="6" spans="1:26" s="251" customFormat="1" x14ac:dyDescent="0.2">
      <c r="A6" s="635" t="s">
        <v>470</v>
      </c>
      <c r="B6" s="635"/>
      <c r="C6" s="635"/>
      <c r="D6" s="635"/>
      <c r="E6" s="635"/>
      <c r="F6" s="635"/>
      <c r="G6" s="635"/>
      <c r="H6" s="635"/>
      <c r="I6" s="635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</row>
    <row r="7" spans="1:26" s="251" customFormat="1" ht="30" customHeight="1" x14ac:dyDescent="0.2">
      <c r="A7" s="280" t="s">
        <v>424</v>
      </c>
      <c r="B7" s="636" t="s">
        <v>991</v>
      </c>
      <c r="C7" s="636"/>
      <c r="D7" s="636"/>
      <c r="E7" s="636"/>
      <c r="F7" s="636"/>
      <c r="G7" s="636"/>
      <c r="H7" s="636"/>
      <c r="I7" s="636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</row>
    <row r="8" spans="1:26" s="251" customFormat="1" ht="30" customHeight="1" x14ac:dyDescent="0.2">
      <c r="A8" s="281" t="s">
        <v>425</v>
      </c>
      <c r="B8" s="637" t="s">
        <v>591</v>
      </c>
      <c r="C8" s="638"/>
      <c r="D8" s="638"/>
      <c r="E8" s="638"/>
      <c r="F8" s="638"/>
      <c r="G8" s="638"/>
      <c r="H8" s="638"/>
      <c r="I8" s="638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</row>
    <row r="9" spans="1:26" s="251" customFormat="1" ht="39.75" customHeight="1" x14ac:dyDescent="0.2">
      <c r="A9" s="281" t="s">
        <v>426</v>
      </c>
      <c r="B9" s="639" t="s">
        <v>876</v>
      </c>
      <c r="C9" s="639"/>
      <c r="D9" s="639"/>
      <c r="E9" s="639"/>
      <c r="F9" s="639"/>
      <c r="G9" s="639"/>
      <c r="H9" s="639"/>
      <c r="I9" s="639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</row>
    <row r="10" spans="1:26" s="252" customFormat="1" ht="15" customHeight="1" thickBot="1" x14ac:dyDescent="0.25">
      <c r="A10" s="282" t="s">
        <v>427</v>
      </c>
      <c r="B10" s="626" t="s">
        <v>428</v>
      </c>
      <c r="C10" s="627"/>
      <c r="D10" s="627"/>
      <c r="E10" s="627"/>
      <c r="F10" s="627"/>
      <c r="G10" s="627"/>
      <c r="H10" s="627"/>
      <c r="I10" s="628"/>
    </row>
    <row r="11" spans="1:26" s="252" customFormat="1" ht="15" customHeight="1" x14ac:dyDescent="0.2">
      <c r="A11" s="629" t="s">
        <v>429</v>
      </c>
      <c r="B11" s="631" t="s">
        <v>430</v>
      </c>
      <c r="C11" s="631" t="s">
        <v>394</v>
      </c>
      <c r="D11" s="633" t="s">
        <v>431</v>
      </c>
      <c r="E11" s="631" t="s">
        <v>432</v>
      </c>
      <c r="F11" s="631" t="s">
        <v>433</v>
      </c>
      <c r="G11" s="631" t="s">
        <v>434</v>
      </c>
      <c r="H11" s="631" t="s">
        <v>435</v>
      </c>
      <c r="I11" s="631" t="s">
        <v>436</v>
      </c>
    </row>
    <row r="12" spans="1:26" s="251" customFormat="1" ht="15" customHeight="1" thickBot="1" x14ac:dyDescent="0.25">
      <c r="A12" s="630"/>
      <c r="B12" s="632"/>
      <c r="C12" s="632"/>
      <c r="D12" s="634"/>
      <c r="E12" s="632"/>
      <c r="F12" s="632"/>
      <c r="G12" s="632"/>
      <c r="H12" s="632"/>
      <c r="I12" s="632"/>
    </row>
    <row r="13" spans="1:26" s="251" customFormat="1" ht="15" customHeight="1" x14ac:dyDescent="0.2">
      <c r="A13" s="624" t="s">
        <v>437</v>
      </c>
      <c r="B13" s="624"/>
      <c r="C13" s="624"/>
      <c r="D13" s="624"/>
      <c r="E13" s="624"/>
      <c r="F13" s="624"/>
      <c r="G13" s="624"/>
      <c r="H13" s="624"/>
      <c r="I13" s="624"/>
    </row>
    <row r="14" spans="1:26" s="251" customFormat="1" ht="24.95" customHeight="1" x14ac:dyDescent="0.2">
      <c r="A14" s="283" t="s">
        <v>455</v>
      </c>
      <c r="B14" s="284" t="s">
        <v>438</v>
      </c>
      <c r="C14" s="284">
        <v>10139</v>
      </c>
      <c r="D14" s="285">
        <v>0.253</v>
      </c>
      <c r="E14" s="284">
        <v>1</v>
      </c>
      <c r="F14" s="311"/>
      <c r="G14" s="284">
        <v>0</v>
      </c>
      <c r="H14" s="286">
        <f>F14*2.5727</f>
        <v>0</v>
      </c>
      <c r="I14" s="286">
        <f>D14*H14</f>
        <v>0</v>
      </c>
    </row>
    <row r="15" spans="1:26" s="251" customFormat="1" ht="24.95" customHeight="1" x14ac:dyDescent="0.2">
      <c r="A15" s="283" t="s">
        <v>456</v>
      </c>
      <c r="B15" s="284" t="s">
        <v>438</v>
      </c>
      <c r="C15" s="284">
        <v>10146</v>
      </c>
      <c r="D15" s="285">
        <v>0.126</v>
      </c>
      <c r="E15" s="284">
        <v>1</v>
      </c>
      <c r="F15" s="311"/>
      <c r="G15" s="284">
        <v>0</v>
      </c>
      <c r="H15" s="286">
        <f>F15*2.5727</f>
        <v>0</v>
      </c>
      <c r="I15" s="286">
        <f>D15*H15</f>
        <v>0</v>
      </c>
    </row>
    <row r="16" spans="1:26" s="251" customFormat="1" ht="15" customHeight="1" thickBot="1" x14ac:dyDescent="0.25">
      <c r="A16" s="312"/>
      <c r="B16" s="313"/>
      <c r="C16" s="313"/>
      <c r="D16" s="314"/>
      <c r="E16" s="314"/>
      <c r="F16" s="314"/>
      <c r="G16" s="315"/>
      <c r="H16" s="287" t="s">
        <v>436</v>
      </c>
      <c r="I16" s="288">
        <f>SUM(I14:I15)</f>
        <v>0</v>
      </c>
    </row>
    <row r="17" spans="1:13" s="251" customFormat="1" ht="15" customHeight="1" x14ac:dyDescent="0.2">
      <c r="A17" s="625" t="s">
        <v>439</v>
      </c>
      <c r="B17" s="625"/>
      <c r="C17" s="625"/>
      <c r="D17" s="625"/>
      <c r="E17" s="625"/>
      <c r="F17" s="625"/>
      <c r="G17" s="625"/>
      <c r="H17" s="625"/>
      <c r="I17" s="625"/>
    </row>
    <row r="18" spans="1:13" s="251" customFormat="1" ht="25.5" x14ac:dyDescent="0.2">
      <c r="A18" s="283" t="s">
        <v>457</v>
      </c>
      <c r="B18" s="284" t="s">
        <v>454</v>
      </c>
      <c r="C18" s="284" t="s">
        <v>459</v>
      </c>
      <c r="D18" s="284">
        <v>5.34</v>
      </c>
      <c r="E18" s="284">
        <v>1</v>
      </c>
      <c r="F18" s="311"/>
      <c r="G18" s="284">
        <v>0</v>
      </c>
      <c r="H18" s="286">
        <f>F18</f>
        <v>0</v>
      </c>
      <c r="I18" s="286">
        <f>D18*H18</f>
        <v>0</v>
      </c>
    </row>
    <row r="19" spans="1:13" s="251" customFormat="1" ht="15" customHeight="1" thickBot="1" x14ac:dyDescent="0.25">
      <c r="A19" s="316"/>
      <c r="B19" s="317"/>
      <c r="C19" s="317"/>
      <c r="D19" s="317"/>
      <c r="E19" s="317"/>
      <c r="F19" s="317"/>
      <c r="G19" s="318"/>
      <c r="H19" s="289" t="s">
        <v>436</v>
      </c>
      <c r="I19" s="290">
        <f>SUM(I18:I18)</f>
        <v>0</v>
      </c>
    </row>
    <row r="20" spans="1:13" s="251" customFormat="1" ht="15" customHeight="1" x14ac:dyDescent="0.2">
      <c r="A20" s="625" t="s">
        <v>412</v>
      </c>
      <c r="B20" s="625"/>
      <c r="C20" s="625"/>
      <c r="D20" s="625"/>
      <c r="E20" s="625"/>
      <c r="F20" s="625"/>
      <c r="G20" s="625"/>
      <c r="H20" s="625"/>
      <c r="I20" s="625"/>
    </row>
    <row r="21" spans="1:13" s="251" customFormat="1" ht="102" x14ac:dyDescent="0.2">
      <c r="A21" s="283" t="s">
        <v>890</v>
      </c>
      <c r="B21" s="284" t="s">
        <v>441</v>
      </c>
      <c r="C21" s="284" t="s">
        <v>458</v>
      </c>
      <c r="D21" s="284">
        <v>1.4E-3</v>
      </c>
      <c r="E21" s="284">
        <v>1</v>
      </c>
      <c r="F21" s="311"/>
      <c r="G21" s="284">
        <v>0</v>
      </c>
      <c r="H21" s="286">
        <f>F21</f>
        <v>0</v>
      </c>
      <c r="I21" s="286">
        <f>D21*H21</f>
        <v>0</v>
      </c>
    </row>
    <row r="22" spans="1:13" s="251" customFormat="1" ht="51" x14ac:dyDescent="0.2">
      <c r="A22" s="283" t="s">
        <v>382</v>
      </c>
      <c r="B22" s="284" t="s">
        <v>454</v>
      </c>
      <c r="C22" s="284">
        <v>40322</v>
      </c>
      <c r="D22" s="284">
        <v>1.14E-2</v>
      </c>
      <c r="E22" s="291">
        <v>1</v>
      </c>
      <c r="F22" s="311"/>
      <c r="G22" s="284">
        <v>0</v>
      </c>
      <c r="H22" s="286">
        <f>F22</f>
        <v>0</v>
      </c>
      <c r="I22" s="286">
        <f>D22*H22</f>
        <v>0</v>
      </c>
    </row>
    <row r="23" spans="1:13" s="251" customFormat="1" ht="63.75" x14ac:dyDescent="0.2">
      <c r="A23" s="283" t="s">
        <v>460</v>
      </c>
      <c r="B23" s="284" t="s">
        <v>440</v>
      </c>
      <c r="C23" s="284" t="s">
        <v>461</v>
      </c>
      <c r="D23" s="284">
        <v>0.79</v>
      </c>
      <c r="E23" s="284">
        <v>1</v>
      </c>
      <c r="F23" s="311"/>
      <c r="G23" s="284">
        <v>0</v>
      </c>
      <c r="H23" s="286">
        <f>F23</f>
        <v>0</v>
      </c>
      <c r="I23" s="286">
        <f>D23*H23</f>
        <v>0</v>
      </c>
      <c r="K23" s="251">
        <f>0.1*0.1*3.14</f>
        <v>3.1399999999999997E-2</v>
      </c>
      <c r="L23" s="253">
        <f>(0.2+0.1+0.1)*(0.2+0.1)</f>
        <v>0.12</v>
      </c>
      <c r="M23" s="253">
        <f>L23-K23</f>
        <v>8.8599999999999998E-2</v>
      </c>
    </row>
    <row r="24" spans="1:13" s="251" customFormat="1" ht="15" customHeight="1" thickBot="1" x14ac:dyDescent="0.25">
      <c r="A24" s="316"/>
      <c r="B24" s="317"/>
      <c r="C24" s="317"/>
      <c r="D24" s="317"/>
      <c r="E24" s="317"/>
      <c r="F24" s="317"/>
      <c r="G24" s="318"/>
      <c r="H24" s="289" t="s">
        <v>436</v>
      </c>
      <c r="I24" s="290">
        <f>SUM(I21:I23)</f>
        <v>0</v>
      </c>
    </row>
    <row r="25" spans="1:13" s="251" customFormat="1" ht="15" customHeight="1" thickBot="1" x14ac:dyDescent="0.25">
      <c r="A25" s="292"/>
      <c r="B25" s="293"/>
      <c r="C25" s="293"/>
      <c r="D25" s="293"/>
      <c r="E25" s="293"/>
      <c r="F25" s="293"/>
      <c r="G25" s="293"/>
      <c r="H25" s="293"/>
      <c r="I25" s="294"/>
    </row>
    <row r="26" spans="1:13" s="251" customFormat="1" ht="15" customHeight="1" x14ac:dyDescent="0.2">
      <c r="A26" s="295" t="s">
        <v>442</v>
      </c>
      <c r="B26" s="296"/>
      <c r="C26" s="297"/>
      <c r="D26" s="293"/>
      <c r="E26" s="298"/>
      <c r="F26" s="298"/>
      <c r="G26" s="298"/>
      <c r="H26" s="298"/>
      <c r="I26" s="294"/>
    </row>
    <row r="27" spans="1:13" s="251" customFormat="1" ht="15" customHeight="1" x14ac:dyDescent="0.2">
      <c r="A27" s="299" t="s">
        <v>443</v>
      </c>
      <c r="B27" s="300" t="s">
        <v>444</v>
      </c>
      <c r="C27" s="301" t="s">
        <v>445</v>
      </c>
      <c r="D27" s="293"/>
      <c r="E27" s="298"/>
      <c r="F27" s="298"/>
      <c r="G27" s="298"/>
      <c r="H27" s="298"/>
      <c r="I27" s="294"/>
    </row>
    <row r="28" spans="1:13" s="251" customFormat="1" ht="15" customHeight="1" x14ac:dyDescent="0.2">
      <c r="A28" s="299" t="s">
        <v>446</v>
      </c>
      <c r="B28" s="302">
        <v>1.5727</v>
      </c>
      <c r="C28" s="303">
        <f>I16</f>
        <v>0</v>
      </c>
      <c r="D28" s="293"/>
      <c r="E28" s="298"/>
      <c r="F28" s="298"/>
      <c r="G28" s="298"/>
      <c r="H28" s="298"/>
      <c r="I28" s="294"/>
    </row>
    <row r="29" spans="1:13" s="251" customFormat="1" ht="15" customHeight="1" x14ac:dyDescent="0.2">
      <c r="A29" s="299" t="s">
        <v>447</v>
      </c>
      <c r="B29" s="304"/>
      <c r="C29" s="303">
        <f>I19</f>
        <v>0</v>
      </c>
      <c r="D29" s="293"/>
      <c r="E29" s="298"/>
      <c r="F29" s="298"/>
      <c r="G29" s="298"/>
      <c r="H29" s="298"/>
      <c r="I29" s="294"/>
    </row>
    <row r="30" spans="1:13" s="251" customFormat="1" ht="15" customHeight="1" x14ac:dyDescent="0.2">
      <c r="A30" s="299" t="s">
        <v>448</v>
      </c>
      <c r="B30" s="304"/>
      <c r="C30" s="305">
        <v>0</v>
      </c>
      <c r="D30" s="293"/>
      <c r="E30" s="298"/>
      <c r="F30" s="298"/>
      <c r="G30" s="298"/>
      <c r="H30" s="298"/>
      <c r="I30" s="294"/>
    </row>
    <row r="31" spans="1:13" s="251" customFormat="1" ht="15" customHeight="1" x14ac:dyDescent="0.2">
      <c r="A31" s="299" t="s">
        <v>449</v>
      </c>
      <c r="B31" s="304"/>
      <c r="C31" s="305">
        <v>1</v>
      </c>
      <c r="D31" s="293"/>
      <c r="E31" s="298"/>
      <c r="F31" s="298"/>
      <c r="G31" s="298"/>
      <c r="H31" s="298"/>
      <c r="I31" s="294"/>
    </row>
    <row r="32" spans="1:13" s="251" customFormat="1" ht="15" customHeight="1" x14ac:dyDescent="0.2">
      <c r="A32" s="299" t="s">
        <v>462</v>
      </c>
      <c r="B32" s="304"/>
      <c r="C32" s="303">
        <f>I24</f>
        <v>0</v>
      </c>
      <c r="D32" s="293"/>
      <c r="E32" s="298"/>
      <c r="F32" s="298"/>
      <c r="G32" s="298"/>
      <c r="H32" s="298"/>
      <c r="I32" s="294"/>
    </row>
    <row r="33" spans="1:9" s="251" customFormat="1" ht="15" customHeight="1" x14ac:dyDescent="0.2">
      <c r="A33" s="299" t="s">
        <v>450</v>
      </c>
      <c r="B33" s="304"/>
      <c r="C33" s="303">
        <f>C28+C30</f>
        <v>0</v>
      </c>
      <c r="D33" s="293"/>
      <c r="E33" s="298"/>
      <c r="F33" s="298"/>
      <c r="G33" s="298"/>
      <c r="H33" s="298"/>
      <c r="I33" s="294"/>
    </row>
    <row r="34" spans="1:9" s="251" customFormat="1" ht="30" customHeight="1" x14ac:dyDescent="0.2">
      <c r="A34" s="306" t="s">
        <v>451</v>
      </c>
      <c r="B34" s="304"/>
      <c r="C34" s="303">
        <f>(C28+C30)/C31</f>
        <v>0</v>
      </c>
      <c r="D34" s="293"/>
      <c r="E34" s="298"/>
      <c r="F34" s="298"/>
      <c r="G34" s="298"/>
      <c r="H34" s="298"/>
      <c r="I34" s="294"/>
    </row>
    <row r="35" spans="1:9" s="251" customFormat="1" ht="15" customHeight="1" thickBot="1" x14ac:dyDescent="0.25">
      <c r="A35" s="299" t="s">
        <v>463</v>
      </c>
      <c r="B35" s="304"/>
      <c r="C35" s="303">
        <f>C29+C34+C32</f>
        <v>0</v>
      </c>
      <c r="D35" s="293"/>
      <c r="E35" s="293"/>
      <c r="F35" s="293"/>
      <c r="G35" s="293"/>
      <c r="H35" s="293"/>
      <c r="I35" s="294"/>
    </row>
    <row r="36" spans="1:9" s="254" customFormat="1" ht="21" customHeight="1" thickBot="1" x14ac:dyDescent="0.3">
      <c r="A36" s="307" t="s">
        <v>464</v>
      </c>
      <c r="B36" s="309"/>
      <c r="C36" s="310">
        <f>C35</f>
        <v>0</v>
      </c>
      <c r="D36" s="293"/>
      <c r="E36" s="308"/>
      <c r="F36" s="293"/>
      <c r="G36" s="293"/>
      <c r="H36" s="293"/>
      <c r="I36" s="294"/>
    </row>
    <row r="37" spans="1:9" s="251" customFormat="1" ht="15" customHeight="1" thickBot="1" x14ac:dyDescent="0.25">
      <c r="A37" s="292"/>
      <c r="B37" s="293"/>
      <c r="C37" s="293"/>
      <c r="D37" s="293"/>
      <c r="E37" s="293"/>
      <c r="F37" s="293"/>
      <c r="G37" s="293"/>
      <c r="H37" s="293"/>
      <c r="I37" s="294"/>
    </row>
    <row r="38" spans="1:9" s="251" customFormat="1" ht="15" customHeight="1" x14ac:dyDescent="0.2">
      <c r="A38" s="600" t="s">
        <v>452</v>
      </c>
      <c r="B38" s="600"/>
      <c r="C38" s="600"/>
      <c r="D38" s="600"/>
      <c r="E38" s="600"/>
      <c r="F38" s="600"/>
      <c r="G38" s="600"/>
      <c r="H38" s="600"/>
      <c r="I38" s="600"/>
    </row>
    <row r="39" spans="1:9" s="251" customFormat="1" ht="30" customHeight="1" x14ac:dyDescent="0.2">
      <c r="A39" s="623" t="s">
        <v>987</v>
      </c>
      <c r="B39" s="623"/>
      <c r="C39" s="623"/>
      <c r="D39" s="623"/>
      <c r="E39" s="623"/>
      <c r="F39" s="623"/>
      <c r="G39" s="623"/>
      <c r="H39" s="623"/>
      <c r="I39" s="623"/>
    </row>
    <row r="40" spans="1:9" s="251" customFormat="1" ht="42" customHeight="1" x14ac:dyDescent="0.2">
      <c r="A40" s="623" t="s">
        <v>960</v>
      </c>
      <c r="B40" s="623"/>
      <c r="C40" s="623"/>
      <c r="D40" s="623"/>
      <c r="E40" s="623"/>
      <c r="F40" s="623"/>
      <c r="G40" s="623"/>
      <c r="H40" s="623"/>
      <c r="I40" s="623"/>
    </row>
    <row r="41" spans="1:9" s="251" customFormat="1" ht="15" customHeight="1" x14ac:dyDescent="0.2">
      <c r="A41" s="319"/>
      <c r="B41" s="320"/>
      <c r="C41" s="320"/>
      <c r="D41" s="320"/>
      <c r="E41" s="320"/>
      <c r="F41" s="320"/>
      <c r="G41" s="320"/>
      <c r="H41" s="320"/>
      <c r="I41" s="321"/>
    </row>
  </sheetData>
  <mergeCells count="24">
    <mergeCell ref="A2:I2"/>
    <mergeCell ref="A13:I13"/>
    <mergeCell ref="A17:I17"/>
    <mergeCell ref="A38:I38"/>
    <mergeCell ref="A6:I6"/>
    <mergeCell ref="B7:I7"/>
    <mergeCell ref="B8:I8"/>
    <mergeCell ref="B9:I9"/>
    <mergeCell ref="A4:F4"/>
    <mergeCell ref="G3:H3"/>
    <mergeCell ref="G4:H4"/>
    <mergeCell ref="A39:I39"/>
    <mergeCell ref="A40:I40"/>
    <mergeCell ref="A20:I20"/>
    <mergeCell ref="B10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rintOptions horizontalCentered="1"/>
  <pageMargins left="0.98425196850393704" right="0.39370078740157483" top="0.59055118110236227" bottom="0.59055118110236227" header="0" footer="0"/>
  <pageSetup paperSize="9" scale="5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CDCD9-088C-4193-8146-88B8339915FE}">
  <sheetPr>
    <pageSetUpPr fitToPage="1"/>
  </sheetPr>
  <dimension ref="A1:Z47"/>
  <sheetViews>
    <sheetView view="pageBreakPreview" topLeftCell="A13" zoomScale="85" zoomScaleNormal="85" zoomScaleSheetLayoutView="85" workbookViewId="0">
      <selection activeCell="G35" sqref="G35"/>
    </sheetView>
  </sheetViews>
  <sheetFormatPr defaultRowHeight="15" x14ac:dyDescent="0.25"/>
  <cols>
    <col min="1" max="1" width="34.7109375" style="251" customWidth="1"/>
    <col min="2" max="2" width="11.7109375" style="251" customWidth="1"/>
    <col min="3" max="3" width="11.5703125" style="251" customWidth="1"/>
    <col min="4" max="6" width="9.7109375" style="251" customWidth="1"/>
    <col min="7" max="7" width="10.28515625" style="251" customWidth="1"/>
    <col min="8" max="8" width="10.42578125" style="251" customWidth="1"/>
    <col min="9" max="9" width="11.7109375" style="251" customWidth="1"/>
    <col min="10" max="13" width="0" style="255" hidden="1" customWidth="1"/>
    <col min="14" max="16384" width="9.140625" style="255"/>
  </cols>
  <sheetData>
    <row r="1" spans="1:26" s="247" customFormat="1" ht="83.25" customHeight="1" x14ac:dyDescent="0.25">
      <c r="A1" s="268"/>
      <c r="B1" s="268"/>
      <c r="C1" s="268"/>
      <c r="D1" s="268"/>
      <c r="E1" s="268"/>
      <c r="F1" s="268"/>
      <c r="G1" s="269"/>
      <c r="H1" s="268"/>
      <c r="I1"/>
    </row>
    <row r="2" spans="1:26" s="247" customFormat="1" ht="27.75" customHeight="1" thickBot="1" x14ac:dyDescent="0.25">
      <c r="A2" s="640" t="s">
        <v>888</v>
      </c>
      <c r="B2" s="640"/>
      <c r="C2" s="640"/>
      <c r="D2" s="640"/>
      <c r="E2" s="640"/>
      <c r="F2" s="640"/>
      <c r="G2" s="640"/>
      <c r="H2" s="640"/>
      <c r="I2" s="640"/>
    </row>
    <row r="3" spans="1:26" s="247" customFormat="1" ht="18" customHeight="1" x14ac:dyDescent="0.2">
      <c r="A3" s="273" t="s">
        <v>906</v>
      </c>
      <c r="B3" s="270"/>
      <c r="C3" s="271"/>
      <c r="D3" s="271"/>
      <c r="E3" s="271"/>
      <c r="F3" s="272"/>
      <c r="G3" s="641" t="s">
        <v>598</v>
      </c>
      <c r="H3" s="642"/>
      <c r="I3" s="275">
        <v>44562</v>
      </c>
    </row>
    <row r="4" spans="1:26" s="247" customFormat="1" ht="18" customHeight="1" x14ac:dyDescent="0.2">
      <c r="A4" s="618" t="s">
        <v>747</v>
      </c>
      <c r="B4" s="619"/>
      <c r="C4" s="619"/>
      <c r="D4" s="619"/>
      <c r="E4" s="619"/>
      <c r="F4" s="620"/>
      <c r="G4" s="643" t="s">
        <v>413</v>
      </c>
      <c r="H4" s="644"/>
      <c r="I4" s="376">
        <v>0.3196</v>
      </c>
    </row>
    <row r="5" spans="1:26" s="247" customFormat="1" ht="9.9499999999999993" customHeight="1" x14ac:dyDescent="0.2">
      <c r="A5" s="248"/>
      <c r="B5" s="249"/>
      <c r="C5" s="249"/>
      <c r="D5" s="249"/>
      <c r="E5" s="249"/>
      <c r="F5" s="249"/>
      <c r="G5" s="274"/>
      <c r="H5" s="274"/>
      <c r="I5" s="250"/>
    </row>
    <row r="6" spans="1:26" s="251" customFormat="1" x14ac:dyDescent="0.2">
      <c r="A6" s="635" t="s">
        <v>470</v>
      </c>
      <c r="B6" s="635"/>
      <c r="C6" s="635"/>
      <c r="D6" s="635"/>
      <c r="E6" s="635"/>
      <c r="F6" s="635"/>
      <c r="G6" s="635"/>
      <c r="H6" s="635"/>
      <c r="I6" s="635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</row>
    <row r="7" spans="1:26" s="251" customFormat="1" ht="30" customHeight="1" x14ac:dyDescent="0.2">
      <c r="A7" s="280" t="s">
        <v>424</v>
      </c>
      <c r="B7" s="636" t="s">
        <v>991</v>
      </c>
      <c r="C7" s="636"/>
      <c r="D7" s="636"/>
      <c r="E7" s="636"/>
      <c r="F7" s="636"/>
      <c r="G7" s="636"/>
      <c r="H7" s="636"/>
      <c r="I7" s="636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</row>
    <row r="8" spans="1:26" s="251" customFormat="1" ht="30" customHeight="1" x14ac:dyDescent="0.2">
      <c r="A8" s="471" t="s">
        <v>425</v>
      </c>
      <c r="B8" s="637" t="s">
        <v>591</v>
      </c>
      <c r="C8" s="638"/>
      <c r="D8" s="638"/>
      <c r="E8" s="638"/>
      <c r="F8" s="638"/>
      <c r="G8" s="638"/>
      <c r="H8" s="638"/>
      <c r="I8" s="638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</row>
    <row r="9" spans="1:26" s="251" customFormat="1" ht="39.75" customHeight="1" x14ac:dyDescent="0.2">
      <c r="A9" s="471" t="s">
        <v>426</v>
      </c>
      <c r="B9" s="639" t="s">
        <v>916</v>
      </c>
      <c r="C9" s="639"/>
      <c r="D9" s="639"/>
      <c r="E9" s="639"/>
      <c r="F9" s="639"/>
      <c r="G9" s="639"/>
      <c r="H9" s="639"/>
      <c r="I9" s="639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</row>
    <row r="10" spans="1:26" s="252" customFormat="1" ht="15" customHeight="1" x14ac:dyDescent="0.2">
      <c r="A10" s="479" t="s">
        <v>427</v>
      </c>
      <c r="B10" s="645" t="s">
        <v>940</v>
      </c>
      <c r="C10" s="646"/>
      <c r="D10" s="646"/>
      <c r="E10" s="646"/>
      <c r="F10" s="646"/>
      <c r="G10" s="646"/>
      <c r="H10" s="646"/>
      <c r="I10" s="647"/>
    </row>
    <row r="11" spans="1:26" s="252" customFormat="1" ht="25.5" x14ac:dyDescent="0.2">
      <c r="A11" s="473" t="s">
        <v>933</v>
      </c>
      <c r="B11" s="474" t="s">
        <v>394</v>
      </c>
      <c r="C11" s="474" t="s">
        <v>593</v>
      </c>
      <c r="D11" s="474" t="s">
        <v>920</v>
      </c>
      <c r="E11" s="474" t="s">
        <v>921</v>
      </c>
      <c r="F11" s="474" t="s">
        <v>922</v>
      </c>
      <c r="G11" s="474" t="s">
        <v>923</v>
      </c>
      <c r="H11" s="648" t="s">
        <v>924</v>
      </c>
      <c r="I11" s="648"/>
    </row>
    <row r="12" spans="1:26" s="477" customFormat="1" ht="38.25" x14ac:dyDescent="0.2">
      <c r="A12" s="480" t="s">
        <v>917</v>
      </c>
      <c r="B12" s="476" t="s">
        <v>919</v>
      </c>
      <c r="C12" s="478">
        <v>1</v>
      </c>
      <c r="D12" s="478">
        <v>1</v>
      </c>
      <c r="E12" s="478">
        <v>0</v>
      </c>
      <c r="F12" s="478"/>
      <c r="G12" s="478"/>
      <c r="H12" s="649">
        <f>C12*((D12*F12)+(E12*G12))</f>
        <v>0</v>
      </c>
      <c r="I12" s="650"/>
    </row>
    <row r="13" spans="1:26" s="251" customFormat="1" ht="25.5" x14ac:dyDescent="0.2">
      <c r="A13" s="414" t="s">
        <v>918</v>
      </c>
      <c r="B13" s="476" t="s">
        <v>927</v>
      </c>
      <c r="C13" s="478">
        <v>1</v>
      </c>
      <c r="D13" s="478">
        <v>1</v>
      </c>
      <c r="E13" s="478">
        <v>0</v>
      </c>
      <c r="F13" s="478"/>
      <c r="G13" s="478"/>
      <c r="H13" s="649">
        <f>C13*((D13*F13)+(E13*G13))</f>
        <v>0</v>
      </c>
      <c r="I13" s="650"/>
    </row>
    <row r="14" spans="1:26" s="251" customFormat="1" ht="15" customHeight="1" x14ac:dyDescent="0.2">
      <c r="A14" s="656" t="s">
        <v>436</v>
      </c>
      <c r="B14" s="657"/>
      <c r="C14" s="657"/>
      <c r="D14" s="657"/>
      <c r="E14" s="657"/>
      <c r="F14" s="657"/>
      <c r="G14" s="658"/>
      <c r="H14" s="651">
        <f>SUM(H12:I13)</f>
        <v>0</v>
      </c>
      <c r="I14" s="652"/>
    </row>
    <row r="15" spans="1:26" s="251" customFormat="1" ht="15" customHeight="1" x14ac:dyDescent="0.2">
      <c r="A15" s="653"/>
      <c r="B15" s="654"/>
      <c r="C15" s="654"/>
      <c r="D15" s="654"/>
      <c r="E15" s="654"/>
      <c r="F15" s="654"/>
      <c r="G15" s="654"/>
      <c r="H15" s="654"/>
      <c r="I15" s="655"/>
    </row>
    <row r="16" spans="1:26" s="251" customFormat="1" ht="15" customHeight="1" x14ac:dyDescent="0.2">
      <c r="A16" s="481" t="s">
        <v>934</v>
      </c>
      <c r="B16" s="474" t="s">
        <v>394</v>
      </c>
      <c r="C16" s="474" t="s">
        <v>929</v>
      </c>
      <c r="D16" s="474" t="s">
        <v>930</v>
      </c>
      <c r="E16" s="474" t="s">
        <v>931</v>
      </c>
      <c r="F16" s="648" t="s">
        <v>932</v>
      </c>
      <c r="G16" s="648"/>
      <c r="H16" s="648" t="s">
        <v>924</v>
      </c>
      <c r="I16" s="648"/>
    </row>
    <row r="17" spans="1:9" s="251" customFormat="1" ht="24.95" customHeight="1" x14ac:dyDescent="0.2">
      <c r="A17" s="475" t="s">
        <v>925</v>
      </c>
      <c r="B17" s="476" t="s">
        <v>928</v>
      </c>
      <c r="C17" s="478">
        <v>2.35</v>
      </c>
      <c r="D17" s="482">
        <v>1.5727</v>
      </c>
      <c r="E17" s="478"/>
      <c r="F17" s="659">
        <v>0.2</v>
      </c>
      <c r="G17" s="659"/>
      <c r="H17" s="660">
        <f>E17*F17</f>
        <v>0</v>
      </c>
      <c r="I17" s="660"/>
    </row>
    <row r="18" spans="1:9" s="251" customFormat="1" ht="24.95" customHeight="1" x14ac:dyDescent="0.2">
      <c r="A18" s="475" t="s">
        <v>926</v>
      </c>
      <c r="B18" s="476">
        <v>10146</v>
      </c>
      <c r="C18" s="478">
        <v>1</v>
      </c>
      <c r="D18" s="482">
        <v>1.5727</v>
      </c>
      <c r="E18" s="478"/>
      <c r="F18" s="659">
        <v>1</v>
      </c>
      <c r="G18" s="659"/>
      <c r="H18" s="660">
        <f>E18*F18</f>
        <v>0</v>
      </c>
      <c r="I18" s="660"/>
    </row>
    <row r="19" spans="1:9" s="251" customFormat="1" ht="15" customHeight="1" x14ac:dyDescent="0.2">
      <c r="A19" s="656" t="s">
        <v>436</v>
      </c>
      <c r="B19" s="657"/>
      <c r="C19" s="657"/>
      <c r="D19" s="657"/>
      <c r="E19" s="657"/>
      <c r="F19" s="657"/>
      <c r="G19" s="658"/>
      <c r="H19" s="651">
        <f>SUM(H17:I18)</f>
        <v>0</v>
      </c>
      <c r="I19" s="652"/>
    </row>
    <row r="20" spans="1:9" s="251" customFormat="1" ht="15" customHeight="1" x14ac:dyDescent="0.2">
      <c r="A20" s="653"/>
      <c r="B20" s="654"/>
      <c r="C20" s="654"/>
      <c r="D20" s="654"/>
      <c r="E20" s="654"/>
      <c r="F20" s="654"/>
      <c r="G20" s="654"/>
      <c r="H20" s="654"/>
      <c r="I20" s="655"/>
    </row>
    <row r="21" spans="1:9" s="251" customFormat="1" ht="15" customHeight="1" x14ac:dyDescent="0.2">
      <c r="A21" s="492" t="s">
        <v>935</v>
      </c>
      <c r="B21" s="474" t="s">
        <v>394</v>
      </c>
      <c r="C21" s="474" t="s">
        <v>317</v>
      </c>
      <c r="D21" s="474" t="s">
        <v>936</v>
      </c>
      <c r="E21" s="474" t="s">
        <v>937</v>
      </c>
      <c r="F21" s="474" t="s">
        <v>938</v>
      </c>
      <c r="G21" s="666" t="s">
        <v>939</v>
      </c>
      <c r="H21" s="667"/>
      <c r="I21" s="668"/>
    </row>
    <row r="22" spans="1:9" s="251" customFormat="1" ht="15" customHeight="1" x14ac:dyDescent="0.2">
      <c r="A22" s="656" t="s">
        <v>436</v>
      </c>
      <c r="B22" s="657"/>
      <c r="C22" s="657"/>
      <c r="D22" s="657"/>
      <c r="E22" s="657"/>
      <c r="F22" s="657"/>
      <c r="G22" s="658"/>
      <c r="H22" s="651">
        <v>0</v>
      </c>
      <c r="I22" s="652"/>
    </row>
    <row r="23" spans="1:9" s="251" customFormat="1" ht="15" customHeight="1" x14ac:dyDescent="0.2">
      <c r="A23" s="653"/>
      <c r="B23" s="654"/>
      <c r="C23" s="654"/>
      <c r="D23" s="654"/>
      <c r="E23" s="654"/>
      <c r="F23" s="654"/>
      <c r="G23" s="654"/>
      <c r="H23" s="654"/>
      <c r="I23" s="655"/>
    </row>
    <row r="24" spans="1:9" s="251" customFormat="1" ht="15" customHeight="1" x14ac:dyDescent="0.2">
      <c r="A24" s="661" t="s">
        <v>943</v>
      </c>
      <c r="B24" s="662"/>
      <c r="C24" s="662"/>
      <c r="D24" s="662"/>
      <c r="E24" s="662"/>
      <c r="F24" s="662"/>
      <c r="G24" s="663"/>
      <c r="H24" s="664">
        <f>H14+H19+H22</f>
        <v>0</v>
      </c>
      <c r="I24" s="665"/>
    </row>
    <row r="25" spans="1:9" s="251" customFormat="1" ht="15" customHeight="1" x14ac:dyDescent="0.2">
      <c r="A25" s="661" t="s">
        <v>941</v>
      </c>
      <c r="B25" s="662"/>
      <c r="C25" s="662"/>
      <c r="D25" s="662"/>
      <c r="E25" s="662"/>
      <c r="F25" s="662"/>
      <c r="G25" s="663"/>
      <c r="H25" s="664">
        <v>60</v>
      </c>
      <c r="I25" s="665"/>
    </row>
    <row r="26" spans="1:9" s="251" customFormat="1" ht="15" customHeight="1" x14ac:dyDescent="0.2">
      <c r="A26" s="661" t="s">
        <v>942</v>
      </c>
      <c r="B26" s="662"/>
      <c r="C26" s="662"/>
      <c r="D26" s="662"/>
      <c r="E26" s="662"/>
      <c r="F26" s="662"/>
      <c r="G26" s="663"/>
      <c r="H26" s="664">
        <f>H24/H25</f>
        <v>0</v>
      </c>
      <c r="I26" s="665"/>
    </row>
    <row r="27" spans="1:9" s="251" customFormat="1" ht="15" customHeight="1" x14ac:dyDescent="0.2">
      <c r="A27" s="653"/>
      <c r="B27" s="654"/>
      <c r="C27" s="654"/>
      <c r="D27" s="654"/>
      <c r="E27" s="654"/>
      <c r="F27" s="654"/>
      <c r="G27" s="654"/>
      <c r="H27" s="654"/>
      <c r="I27" s="655"/>
    </row>
    <row r="28" spans="1:9" s="251" customFormat="1" ht="15" customHeight="1" x14ac:dyDescent="0.2">
      <c r="A28" s="481" t="s">
        <v>944</v>
      </c>
      <c r="B28" s="483" t="s">
        <v>394</v>
      </c>
      <c r="C28" s="483" t="s">
        <v>430</v>
      </c>
      <c r="D28" s="666" t="s">
        <v>947</v>
      </c>
      <c r="E28" s="668"/>
      <c r="F28" s="648" t="s">
        <v>932</v>
      </c>
      <c r="G28" s="648"/>
      <c r="H28" s="648" t="s">
        <v>953</v>
      </c>
      <c r="I28" s="648"/>
    </row>
    <row r="29" spans="1:9" s="251" customFormat="1" ht="15" customHeight="1" x14ac:dyDescent="0.2">
      <c r="A29" s="656" t="s">
        <v>436</v>
      </c>
      <c r="B29" s="657"/>
      <c r="C29" s="657"/>
      <c r="D29" s="657"/>
      <c r="E29" s="657"/>
      <c r="F29" s="657"/>
      <c r="G29" s="657"/>
      <c r="H29" s="658"/>
      <c r="I29" s="484">
        <v>0</v>
      </c>
    </row>
    <row r="30" spans="1:9" s="251" customFormat="1" ht="15" customHeight="1" x14ac:dyDescent="0.2">
      <c r="A30" s="669"/>
      <c r="B30" s="670"/>
      <c r="C30" s="670"/>
      <c r="D30" s="670"/>
      <c r="E30" s="670"/>
      <c r="F30" s="670"/>
      <c r="G30" s="670"/>
      <c r="H30" s="670"/>
      <c r="I30" s="671"/>
    </row>
    <row r="31" spans="1:9" s="251" customFormat="1" ht="15" customHeight="1" x14ac:dyDescent="0.2">
      <c r="A31" s="481" t="s">
        <v>945</v>
      </c>
      <c r="B31" s="483" t="s">
        <v>394</v>
      </c>
      <c r="C31" s="483" t="s">
        <v>430</v>
      </c>
      <c r="D31" s="666" t="s">
        <v>947</v>
      </c>
      <c r="E31" s="668"/>
      <c r="F31" s="648" t="s">
        <v>932</v>
      </c>
      <c r="G31" s="648"/>
      <c r="H31" s="648" t="s">
        <v>952</v>
      </c>
      <c r="I31" s="648"/>
    </row>
    <row r="32" spans="1:9" s="251" customFormat="1" ht="15" customHeight="1" x14ac:dyDescent="0.2">
      <c r="A32" s="656" t="s">
        <v>436</v>
      </c>
      <c r="B32" s="657"/>
      <c r="C32" s="657"/>
      <c r="D32" s="657"/>
      <c r="E32" s="657"/>
      <c r="F32" s="657"/>
      <c r="G32" s="657"/>
      <c r="H32" s="658"/>
      <c r="I32" s="484">
        <v>0</v>
      </c>
    </row>
    <row r="33" spans="1:9" s="251" customFormat="1" ht="15" customHeight="1" x14ac:dyDescent="0.2">
      <c r="A33" s="669"/>
      <c r="B33" s="670"/>
      <c r="C33" s="670"/>
      <c r="D33" s="670"/>
      <c r="E33" s="670"/>
      <c r="F33" s="670"/>
      <c r="G33" s="670"/>
      <c r="H33" s="670"/>
      <c r="I33" s="671"/>
    </row>
    <row r="34" spans="1:9" s="251" customFormat="1" ht="15" customHeight="1" x14ac:dyDescent="0.2">
      <c r="A34" s="494" t="s">
        <v>946</v>
      </c>
      <c r="B34" s="495" t="s">
        <v>394</v>
      </c>
      <c r="C34" s="495" t="s">
        <v>430</v>
      </c>
      <c r="D34" s="496" t="s">
        <v>948</v>
      </c>
      <c r="E34" s="495" t="s">
        <v>949</v>
      </c>
      <c r="F34" s="495" t="s">
        <v>950</v>
      </c>
      <c r="G34" s="495" t="s">
        <v>939</v>
      </c>
      <c r="H34" s="483" t="s">
        <v>932</v>
      </c>
      <c r="I34" s="493" t="s">
        <v>951</v>
      </c>
    </row>
    <row r="35" spans="1:9" s="251" customFormat="1" ht="38.25" x14ac:dyDescent="0.2">
      <c r="A35" s="501" t="s">
        <v>957</v>
      </c>
      <c r="B35" s="500" t="s">
        <v>956</v>
      </c>
      <c r="C35" s="497" t="s">
        <v>955</v>
      </c>
      <c r="D35" s="499" t="s">
        <v>954</v>
      </c>
      <c r="E35" s="497">
        <v>0</v>
      </c>
      <c r="F35" s="497">
        <v>5.7</v>
      </c>
      <c r="G35" s="497"/>
      <c r="H35" s="502">
        <v>1.5</v>
      </c>
      <c r="I35" s="498">
        <f>G35*H35</f>
        <v>0</v>
      </c>
    </row>
    <row r="36" spans="1:9" s="251" customFormat="1" ht="15" customHeight="1" x14ac:dyDescent="0.2">
      <c r="A36" s="656" t="s">
        <v>436</v>
      </c>
      <c r="B36" s="657"/>
      <c r="C36" s="657"/>
      <c r="D36" s="657"/>
      <c r="E36" s="657"/>
      <c r="F36" s="657"/>
      <c r="G36" s="657"/>
      <c r="H36" s="658"/>
      <c r="I36" s="484">
        <f>I35</f>
        <v>0</v>
      </c>
    </row>
    <row r="37" spans="1:9" s="251" customFormat="1" ht="15" customHeight="1" x14ac:dyDescent="0.2">
      <c r="A37" s="669"/>
      <c r="B37" s="670"/>
      <c r="C37" s="670"/>
      <c r="D37" s="670"/>
      <c r="E37" s="670"/>
      <c r="F37" s="670"/>
      <c r="G37" s="670"/>
      <c r="H37" s="670"/>
      <c r="I37" s="671"/>
    </row>
    <row r="38" spans="1:9" s="251" customFormat="1" ht="15" customHeight="1" x14ac:dyDescent="0.2">
      <c r="A38" s="486" t="s">
        <v>442</v>
      </c>
      <c r="B38" s="487"/>
      <c r="C38" s="487"/>
      <c r="D38" s="485"/>
      <c r="E38" s="488"/>
      <c r="F38" s="488"/>
      <c r="G38" s="488"/>
      <c r="H38" s="488"/>
      <c r="I38" s="485"/>
    </row>
    <row r="39" spans="1:9" s="251" customFormat="1" ht="15" customHeight="1" x14ac:dyDescent="0.2">
      <c r="A39" s="473" t="s">
        <v>443</v>
      </c>
      <c r="B39" s="474" t="s">
        <v>444</v>
      </c>
      <c r="C39" s="474" t="s">
        <v>445</v>
      </c>
      <c r="D39" s="485"/>
      <c r="E39" s="488"/>
      <c r="F39" s="488"/>
      <c r="G39" s="488"/>
      <c r="H39" s="488"/>
      <c r="I39" s="485"/>
    </row>
    <row r="40" spans="1:9" s="251" customFormat="1" ht="15" customHeight="1" x14ac:dyDescent="0.2">
      <c r="A40" s="491" t="s">
        <v>958</v>
      </c>
      <c r="B40" s="489"/>
      <c r="C40" s="490">
        <f>H26+I29+I32+I36</f>
        <v>0</v>
      </c>
      <c r="D40" s="485"/>
      <c r="E40" s="488"/>
      <c r="F40" s="488"/>
      <c r="G40" s="488"/>
      <c r="H40" s="488"/>
      <c r="I40" s="485"/>
    </row>
    <row r="41" spans="1:9" s="251" customFormat="1" ht="15" customHeight="1" x14ac:dyDescent="0.2">
      <c r="A41" s="491" t="s">
        <v>413</v>
      </c>
      <c r="B41" s="489">
        <v>0</v>
      </c>
      <c r="C41" s="490">
        <f>B41*C40</f>
        <v>0</v>
      </c>
      <c r="D41" s="485"/>
      <c r="E41" s="488"/>
      <c r="F41" s="488"/>
      <c r="G41" s="488"/>
      <c r="H41" s="488"/>
      <c r="I41" s="485"/>
    </row>
    <row r="42" spans="1:9" s="251" customFormat="1" ht="15" customHeight="1" x14ac:dyDescent="0.2">
      <c r="A42" s="491" t="s">
        <v>959</v>
      </c>
      <c r="B42" s="491"/>
      <c r="C42" s="490">
        <f>C40+C41</f>
        <v>0</v>
      </c>
      <c r="D42" s="485"/>
      <c r="E42" s="488"/>
      <c r="F42" s="488"/>
      <c r="G42" s="488"/>
      <c r="H42" s="488"/>
      <c r="I42" s="485"/>
    </row>
    <row r="43" spans="1:9" s="251" customFormat="1" ht="15" customHeight="1" thickBot="1" x14ac:dyDescent="0.25">
      <c r="A43" s="292"/>
      <c r="B43" s="293"/>
      <c r="C43" s="293"/>
      <c r="D43" s="293"/>
      <c r="E43" s="293"/>
      <c r="F43" s="293"/>
      <c r="G43" s="293"/>
      <c r="H43" s="293"/>
      <c r="I43" s="294"/>
    </row>
    <row r="44" spans="1:9" s="251" customFormat="1" ht="15" customHeight="1" x14ac:dyDescent="0.2">
      <c r="A44" s="600" t="s">
        <v>452</v>
      </c>
      <c r="B44" s="600"/>
      <c r="C44" s="600"/>
      <c r="D44" s="600"/>
      <c r="E44" s="600"/>
      <c r="F44" s="600"/>
      <c r="G44" s="600"/>
      <c r="H44" s="600"/>
      <c r="I44" s="600"/>
    </row>
    <row r="45" spans="1:9" s="251" customFormat="1" ht="30" customHeight="1" x14ac:dyDescent="0.2">
      <c r="A45" s="623" t="s">
        <v>988</v>
      </c>
      <c r="B45" s="623"/>
      <c r="C45" s="623"/>
      <c r="D45" s="623"/>
      <c r="E45" s="623"/>
      <c r="F45" s="623"/>
      <c r="G45" s="623"/>
      <c r="H45" s="623"/>
      <c r="I45" s="623"/>
    </row>
    <row r="46" spans="1:9" s="251" customFormat="1" ht="42" customHeight="1" x14ac:dyDescent="0.2">
      <c r="A46" s="623" t="s">
        <v>989</v>
      </c>
      <c r="B46" s="623"/>
      <c r="C46" s="623"/>
      <c r="D46" s="623"/>
      <c r="E46" s="623"/>
      <c r="F46" s="623"/>
      <c r="G46" s="623"/>
      <c r="H46" s="623"/>
      <c r="I46" s="623"/>
    </row>
    <row r="47" spans="1:9" s="251" customFormat="1" ht="15" customHeight="1" x14ac:dyDescent="0.2">
      <c r="A47" s="319"/>
      <c r="B47" s="320"/>
      <c r="C47" s="320"/>
      <c r="D47" s="320"/>
      <c r="E47" s="320"/>
      <c r="F47" s="320"/>
      <c r="G47" s="320"/>
      <c r="H47" s="320"/>
      <c r="I47" s="321"/>
    </row>
  </sheetData>
  <mergeCells count="50">
    <mergeCell ref="A27:I27"/>
    <mergeCell ref="D31:E31"/>
    <mergeCell ref="F31:G31"/>
    <mergeCell ref="H31:I31"/>
    <mergeCell ref="D28:E28"/>
    <mergeCell ref="F28:G28"/>
    <mergeCell ref="H28:I28"/>
    <mergeCell ref="A30:I30"/>
    <mergeCell ref="A33:I33"/>
    <mergeCell ref="A37:I37"/>
    <mergeCell ref="A36:H36"/>
    <mergeCell ref="A32:H32"/>
    <mergeCell ref="A29:H29"/>
    <mergeCell ref="A26:G26"/>
    <mergeCell ref="H24:I24"/>
    <mergeCell ref="H25:I25"/>
    <mergeCell ref="H26:I26"/>
    <mergeCell ref="A14:G14"/>
    <mergeCell ref="A22:G22"/>
    <mergeCell ref="A24:G24"/>
    <mergeCell ref="G21:I21"/>
    <mergeCell ref="H22:I22"/>
    <mergeCell ref="A15:I15"/>
    <mergeCell ref="A20:I20"/>
    <mergeCell ref="A25:G25"/>
    <mergeCell ref="A45:I45"/>
    <mergeCell ref="A46:I46"/>
    <mergeCell ref="A44:I44"/>
    <mergeCell ref="H11:I11"/>
    <mergeCell ref="H12:I12"/>
    <mergeCell ref="H13:I13"/>
    <mergeCell ref="H14:I14"/>
    <mergeCell ref="A23:I23"/>
    <mergeCell ref="A19:G19"/>
    <mergeCell ref="F16:G16"/>
    <mergeCell ref="F17:G17"/>
    <mergeCell ref="F18:G18"/>
    <mergeCell ref="H16:I16"/>
    <mergeCell ref="H17:I17"/>
    <mergeCell ref="H18:I18"/>
    <mergeCell ref="H19:I19"/>
    <mergeCell ref="B8:I8"/>
    <mergeCell ref="B9:I9"/>
    <mergeCell ref="B10:I10"/>
    <mergeCell ref="A2:I2"/>
    <mergeCell ref="G3:H3"/>
    <mergeCell ref="A4:F4"/>
    <mergeCell ref="G4:H4"/>
    <mergeCell ref="A6:I6"/>
    <mergeCell ref="B7:I7"/>
  </mergeCells>
  <phoneticPr fontId="17" type="noConversion"/>
  <printOptions horizontalCentered="1"/>
  <pageMargins left="0.98425196850393704" right="0.39370078740157483" top="0.59055118110236227" bottom="0.59055118110236227" header="0" footer="0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20</vt:i4>
      </vt:variant>
    </vt:vector>
  </HeadingPairs>
  <TitlesOfParts>
    <vt:vector size="31" baseType="lpstr">
      <vt:lpstr>Original</vt:lpstr>
      <vt:lpstr>total</vt:lpstr>
      <vt:lpstr>ORÇAMENTO (3)</vt:lpstr>
      <vt:lpstr>Planilha Orçamentária</vt:lpstr>
      <vt:lpstr>ORÇAMENTO</vt:lpstr>
      <vt:lpstr>Cronograma Físico Financeiro</vt:lpstr>
      <vt:lpstr>COMP-01</vt:lpstr>
      <vt:lpstr>COMP-02</vt:lpstr>
      <vt:lpstr>COMP-03</vt:lpstr>
      <vt:lpstr>cronograma (2)</vt:lpstr>
      <vt:lpstr>cronograma</vt:lpstr>
      <vt:lpstr>'COMP-01'!Area_de_impressao</vt:lpstr>
      <vt:lpstr>'COMP-02'!Area_de_impressao</vt:lpstr>
      <vt:lpstr>'COMP-03'!Area_de_impressao</vt:lpstr>
      <vt:lpstr>cronograma!Area_de_impressao</vt:lpstr>
      <vt:lpstr>'cronograma (2)'!Area_de_impressao</vt:lpstr>
      <vt:lpstr>'Cronograma Físico Financeiro'!Area_de_impressao</vt:lpstr>
      <vt:lpstr>ORÇAMENTO!Area_de_impressao</vt:lpstr>
      <vt:lpstr>'ORÇAMENTO (3)'!Area_de_impressao</vt:lpstr>
      <vt:lpstr>Original!Area_de_impressao</vt:lpstr>
      <vt:lpstr>'Planilha Orçamentária'!Area_de_impressao</vt:lpstr>
      <vt:lpstr>total!Area_de_impressao</vt:lpstr>
      <vt:lpstr>'COMP-01'!Titulos_de_impressao</vt:lpstr>
      <vt:lpstr>'COMP-02'!Titulos_de_impressao</vt:lpstr>
      <vt:lpstr>'COMP-03'!Titulos_de_impressao</vt:lpstr>
      <vt:lpstr>'Cronograma Físico Financeiro'!Titulos_de_impressao</vt:lpstr>
      <vt:lpstr>ORÇAMENTO!Titulos_de_impressao</vt:lpstr>
      <vt:lpstr>'ORÇAMENTO (3)'!Titulos_de_impressao</vt:lpstr>
      <vt:lpstr>Original!Titulos_de_impressao</vt:lpstr>
      <vt:lpstr>'Planilha Orçamentária'!Titulos_de_impressao</vt:lpstr>
      <vt:lpstr>total!Titulos_de_impressao</vt:lpstr>
    </vt:vector>
  </TitlesOfParts>
  <Company>PREFEITURA MUN. DE ARACRUZ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PLANILHA MODELO</dc:subject>
  <dc:creator>PMA</dc:creator>
  <cp:lastModifiedBy>abaiocco</cp:lastModifiedBy>
  <cp:lastPrinted>2022-03-21T11:44:58Z</cp:lastPrinted>
  <dcterms:created xsi:type="dcterms:W3CDTF">2005-02-01T14:31:03Z</dcterms:created>
  <dcterms:modified xsi:type="dcterms:W3CDTF">2022-06-03T17:34:02Z</dcterms:modified>
</cp:coreProperties>
</file>